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255" yWindow="975" windowWidth="15480" windowHeight="7635" tabRatio="675" firstSheet="1" activeTab="3"/>
  </bookViews>
  <sheets>
    <sheet name="Table of Contents" sheetId="9" r:id="rId1"/>
    <sheet name="Category (2013)" sheetId="4" r:id="rId2"/>
    <sheet name="Category Detail (2013)" sheetId="13" r:id="rId3"/>
    <sheet name="Category (2013-2015)" sheetId="8" r:id="rId4"/>
    <sheet name="NPCC In Kind" sheetId="6" r:id="rId5"/>
    <sheet name="Typical Rates" sheetId="5" r:id="rId6"/>
    <sheet name="Funding Shares" sheetId="10" r:id="rId7"/>
  </sheets>
  <definedNames>
    <definedName name="_xlnm.Print_Area" localSheetId="4">'NPCC In Kind'!$R$4:$X$24</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F29" i="6"/>
  <c r="F83" i="13"/>
  <c r="F92" s="1"/>
  <c r="F25" i="6"/>
  <c r="F26" s="1"/>
  <c r="E25"/>
  <c r="E26" s="1"/>
  <c r="L4"/>
  <c r="F21" l="1"/>
  <c r="G20"/>
  <c r="E21"/>
  <c r="X8" i="4"/>
  <c r="X7"/>
  <c r="X6"/>
  <c r="Q15"/>
  <c r="R15"/>
  <c r="P15"/>
  <c r="Q12"/>
  <c r="R12"/>
  <c r="P12"/>
  <c r="Q9"/>
  <c r="R9"/>
  <c r="P9"/>
  <c r="Q6"/>
  <c r="R6"/>
  <c r="P6"/>
  <c r="C8" i="10"/>
  <c r="F30" i="13" l="1"/>
  <c r="D30"/>
  <c r="C30"/>
  <c r="E59"/>
  <c r="E30" l="1"/>
  <c r="F48"/>
  <c r="E48"/>
  <c r="B21" i="8" l="1"/>
  <c r="L15" i="13" l="1"/>
  <c r="L12"/>
  <c r="E81"/>
  <c r="H22" l="1"/>
  <c r="L21"/>
  <c r="L10" l="1"/>
  <c r="D29" l="1"/>
  <c r="D28"/>
  <c r="F29"/>
  <c r="F28"/>
  <c r="C29"/>
  <c r="F31" l="1"/>
  <c r="D31"/>
  <c r="E29"/>
  <c r="F16"/>
  <c r="D16"/>
  <c r="C16"/>
  <c r="D50"/>
  <c r="E49"/>
  <c r="F49"/>
  <c r="C50"/>
  <c r="E16" l="1"/>
  <c r="F45"/>
  <c r="E45"/>
  <c r="C28"/>
  <c r="C31" s="1"/>
  <c r="C14"/>
  <c r="F46"/>
  <c r="E46"/>
  <c r="F11"/>
  <c r="D11"/>
  <c r="C11"/>
  <c r="D14"/>
  <c r="F14"/>
  <c r="F61"/>
  <c r="C61"/>
  <c r="E54"/>
  <c r="E66"/>
  <c r="E36"/>
  <c r="F47"/>
  <c r="E47"/>
  <c r="E38"/>
  <c r="B2"/>
  <c r="B2" i="4"/>
  <c r="E11" i="13" l="1"/>
  <c r="E14"/>
  <c r="B17"/>
  <c r="C10"/>
  <c r="D10"/>
  <c r="F10"/>
  <c r="C12"/>
  <c r="D12"/>
  <c r="F12"/>
  <c r="C13"/>
  <c r="D13"/>
  <c r="F13"/>
  <c r="C15"/>
  <c r="D15"/>
  <c r="F15"/>
  <c r="B24"/>
  <c r="C21"/>
  <c r="D21"/>
  <c r="F21"/>
  <c r="C22"/>
  <c r="D22"/>
  <c r="F22"/>
  <c r="C23"/>
  <c r="D23"/>
  <c r="F23"/>
  <c r="B31"/>
  <c r="E28"/>
  <c r="E31" s="1"/>
  <c r="E35"/>
  <c r="E37"/>
  <c r="E39"/>
  <c r="B40"/>
  <c r="C40"/>
  <c r="D40"/>
  <c r="F40"/>
  <c r="B50"/>
  <c r="E44"/>
  <c r="E50" s="1"/>
  <c r="F44"/>
  <c r="F50" s="1"/>
  <c r="B61"/>
  <c r="E55"/>
  <c r="E56"/>
  <c r="E57"/>
  <c r="D58"/>
  <c r="D61" s="1"/>
  <c r="E60"/>
  <c r="B69"/>
  <c r="E65"/>
  <c r="E67"/>
  <c r="E68"/>
  <c r="C69"/>
  <c r="D69"/>
  <c r="F69"/>
  <c r="B75"/>
  <c r="E73"/>
  <c r="E74"/>
  <c r="C75"/>
  <c r="D75"/>
  <c r="F75"/>
  <c r="E79"/>
  <c r="E80"/>
  <c r="E82"/>
  <c r="B83"/>
  <c r="C83"/>
  <c r="D83"/>
  <c r="D17" l="1"/>
  <c r="F17"/>
  <c r="C17"/>
  <c r="E40"/>
  <c r="E9" i="4" s="1"/>
  <c r="E75" i="13"/>
  <c r="E13" i="8" s="1"/>
  <c r="E22" i="13"/>
  <c r="E10"/>
  <c r="C24"/>
  <c r="C7" i="4" s="1"/>
  <c r="F11"/>
  <c r="F11" i="8"/>
  <c r="R11" s="1"/>
  <c r="D10"/>
  <c r="P10" s="1"/>
  <c r="D10" i="4"/>
  <c r="C14" i="8"/>
  <c r="C14" i="4"/>
  <c r="D12" i="8"/>
  <c r="P12" s="1"/>
  <c r="D12" i="4"/>
  <c r="C9" i="8"/>
  <c r="O9" s="1"/>
  <c r="C9" i="4"/>
  <c r="D14" i="8"/>
  <c r="D14" i="4"/>
  <c r="C13" i="8"/>
  <c r="O13" s="1"/>
  <c r="C13" i="4"/>
  <c r="F12"/>
  <c r="F12" i="8"/>
  <c r="R12" s="1"/>
  <c r="C11"/>
  <c r="O11" s="1"/>
  <c r="C11" i="4"/>
  <c r="C10" i="8"/>
  <c r="O10" s="1"/>
  <c r="C10" i="4"/>
  <c r="D9" i="8"/>
  <c r="P9" s="1"/>
  <c r="D9" i="4"/>
  <c r="T9" s="1"/>
  <c r="D8" i="8"/>
  <c r="P8" s="1"/>
  <c r="D8" i="4"/>
  <c r="C8" i="8"/>
  <c r="O8" s="1"/>
  <c r="C8" i="4"/>
  <c r="E21" i="13"/>
  <c r="E23"/>
  <c r="E13"/>
  <c r="E12"/>
  <c r="F14" i="4"/>
  <c r="F14" i="8"/>
  <c r="D13"/>
  <c r="P13" s="1"/>
  <c r="D13" i="4"/>
  <c r="F13"/>
  <c r="F13" i="8"/>
  <c r="R13" s="1"/>
  <c r="C12"/>
  <c r="O12" s="1"/>
  <c r="C12" i="4"/>
  <c r="S12" s="1"/>
  <c r="D11" i="8"/>
  <c r="P11" s="1"/>
  <c r="D11" i="4"/>
  <c r="F9"/>
  <c r="F9" i="8"/>
  <c r="R9" s="1"/>
  <c r="E15" i="13"/>
  <c r="D24"/>
  <c r="E69"/>
  <c r="F24"/>
  <c r="E83"/>
  <c r="E58"/>
  <c r="E61" s="1"/>
  <c r="S9" i="4" l="1"/>
  <c r="T12"/>
  <c r="F91" i="13"/>
  <c r="J14" i="8"/>
  <c r="P14"/>
  <c r="I14"/>
  <c r="O14"/>
  <c r="E17" i="13"/>
  <c r="E13" i="4"/>
  <c r="E9" i="8"/>
  <c r="E24" i="13"/>
  <c r="E7" i="8" s="1"/>
  <c r="C7"/>
  <c r="O7" s="1"/>
  <c r="D6" i="4"/>
  <c r="D6" i="8"/>
  <c r="P6" s="1"/>
  <c r="E10"/>
  <c r="E10" i="4"/>
  <c r="U9" s="1"/>
  <c r="F10"/>
  <c r="F10" i="8"/>
  <c r="R10" s="1"/>
  <c r="F7" i="4"/>
  <c r="F7" i="8"/>
  <c r="R7" s="1"/>
  <c r="F86" i="13"/>
  <c r="F88" s="1"/>
  <c r="F8" i="4"/>
  <c r="F8" i="8"/>
  <c r="R8" s="1"/>
  <c r="D7"/>
  <c r="P7" s="1"/>
  <c r="D7" i="4"/>
  <c r="E11"/>
  <c r="E11" i="8"/>
  <c r="E14"/>
  <c r="E14" i="4"/>
  <c r="E8" i="8"/>
  <c r="E8" i="4"/>
  <c r="C86" i="13"/>
  <c r="C6" i="8"/>
  <c r="O6" s="1"/>
  <c r="C6" i="4"/>
  <c r="S6" s="1"/>
  <c r="E12" i="8"/>
  <c r="E12" i="4"/>
  <c r="F6"/>
  <c r="F6" i="8"/>
  <c r="R6" s="1"/>
  <c r="D86" i="13"/>
  <c r="S15" i="4" l="1"/>
  <c r="Y6" s="1"/>
  <c r="U12"/>
  <c r="T6"/>
  <c r="T15" s="1"/>
  <c r="Y7" s="1"/>
  <c r="K14" i="8"/>
  <c r="Q14"/>
  <c r="E6"/>
  <c r="E15" s="1"/>
  <c r="D88" i="13"/>
  <c r="F15" i="4"/>
  <c r="E7"/>
  <c r="E6"/>
  <c r="E86" i="13"/>
  <c r="G17" s="1"/>
  <c r="C15" i="8"/>
  <c r="D15" i="4"/>
  <c r="F15" i="8"/>
  <c r="D15"/>
  <c r="D16" s="1"/>
  <c r="Y8" i="4" l="1"/>
  <c r="U6"/>
  <c r="U15" s="1"/>
  <c r="E7" i="13"/>
  <c r="G83"/>
  <c r="G50"/>
  <c r="G75"/>
  <c r="G61"/>
  <c r="G24"/>
  <c r="G40"/>
  <c r="G69"/>
  <c r="G31"/>
  <c r="D87"/>
  <c r="C87"/>
  <c r="E15" i="4"/>
  <c r="A2" i="10"/>
  <c r="B2" i="8"/>
  <c r="G86" i="13" l="1"/>
  <c r="H9" i="4"/>
  <c r="H12"/>
  <c r="H11"/>
  <c r="H8"/>
  <c r="H13"/>
  <c r="H14"/>
  <c r="H10"/>
  <c r="H7"/>
  <c r="H6"/>
  <c r="I20" i="10"/>
  <c r="I19"/>
  <c r="I18"/>
  <c r="I17"/>
  <c r="I16"/>
  <c r="I15"/>
  <c r="I14"/>
  <c r="F8"/>
  <c r="I12"/>
  <c r="I11"/>
  <c r="I10"/>
  <c r="H15" i="4" l="1"/>
  <c r="I22" i="10"/>
  <c r="F22"/>
  <c r="B22"/>
  <c r="B2" i="5" l="1"/>
  <c r="B2" i="6"/>
  <c r="B20" i="8"/>
  <c r="B19"/>
  <c r="F41" i="5" l="1"/>
  <c r="D41" s="1"/>
  <c r="E41" s="1"/>
  <c r="G41" s="1"/>
  <c r="F45"/>
  <c r="D45" s="1"/>
  <c r="E45" s="1"/>
  <c r="G45" s="1"/>
  <c r="F36"/>
  <c r="F51" s="1"/>
  <c r="J8" i="8" l="1"/>
  <c r="I8"/>
  <c r="L9"/>
  <c r="J9"/>
  <c r="I9"/>
  <c r="D36" i="5"/>
  <c r="E36" s="1"/>
  <c r="G36" s="1"/>
  <c r="F37"/>
  <c r="D37" s="1"/>
  <c r="E37" s="1"/>
  <c r="G37" s="1"/>
  <c r="F42"/>
  <c r="D42" s="1"/>
  <c r="E42" s="1"/>
  <c r="G42" s="1"/>
  <c r="F38"/>
  <c r="D38" s="1"/>
  <c r="E38" s="1"/>
  <c r="G38" s="1"/>
  <c r="F49"/>
  <c r="F43"/>
  <c r="D43" s="1"/>
  <c r="E43" s="1"/>
  <c r="G43" s="1"/>
  <c r="F39"/>
  <c r="D39" s="1"/>
  <c r="E39" s="1"/>
  <c r="G39" s="1"/>
  <c r="F44"/>
  <c r="D44" s="1"/>
  <c r="E44" s="1"/>
  <c r="G44" s="1"/>
  <c r="F40"/>
  <c r="D40" s="1"/>
  <c r="E40" s="1"/>
  <c r="G40" s="1"/>
  <c r="Q9" i="8" l="1"/>
  <c r="Q8"/>
  <c r="K8"/>
  <c r="K9"/>
  <c r="F50" i="5"/>
  <c r="U20" i="6" l="1"/>
  <c r="U21" s="1"/>
  <c r="T20"/>
  <c r="T21" s="1"/>
  <c r="F22"/>
  <c r="E22"/>
  <c r="AF19"/>
  <c r="AD19"/>
  <c r="AC19"/>
  <c r="V19"/>
  <c r="G19"/>
  <c r="V18"/>
  <c r="G18"/>
  <c r="AE17"/>
  <c r="V17"/>
  <c r="G17"/>
  <c r="AE16"/>
  <c r="V16"/>
  <c r="G16"/>
  <c r="AE15"/>
  <c r="V15"/>
  <c r="G15"/>
  <c r="AE14"/>
  <c r="V14"/>
  <c r="G14"/>
  <c r="AE13"/>
  <c r="V13"/>
  <c r="G13"/>
  <c r="AE12"/>
  <c r="V12"/>
  <c r="G12"/>
  <c r="AE11"/>
  <c r="V11"/>
  <c r="G11"/>
  <c r="AE10"/>
  <c r="V10"/>
  <c r="G10"/>
  <c r="AE9"/>
  <c r="V9"/>
  <c r="G9"/>
  <c r="AE8"/>
  <c r="V8"/>
  <c r="G8"/>
  <c r="AE7"/>
  <c r="V7"/>
  <c r="G7"/>
  <c r="H30" i="5"/>
  <c r="I30"/>
  <c r="J30"/>
  <c r="H31"/>
  <c r="I31"/>
  <c r="J31"/>
  <c r="H32"/>
  <c r="I32"/>
  <c r="J32"/>
  <c r="J29"/>
  <c r="I29"/>
  <c r="H29"/>
  <c r="F30"/>
  <c r="F31"/>
  <c r="F32"/>
  <c r="F29"/>
  <c r="E30"/>
  <c r="E31"/>
  <c r="E32"/>
  <c r="E29"/>
  <c r="D30"/>
  <c r="D31"/>
  <c r="D32"/>
  <c r="D29"/>
  <c r="F19"/>
  <c r="E19" s="1"/>
  <c r="D19" s="1"/>
  <c r="C19" s="1"/>
  <c r="F21"/>
  <c r="I21" s="1"/>
  <c r="J21" s="1"/>
  <c r="F22"/>
  <c r="I22" s="1"/>
  <c r="J22" s="1"/>
  <c r="F23"/>
  <c r="L23" s="1"/>
  <c r="F24"/>
  <c r="I24" s="1"/>
  <c r="J24" s="1"/>
  <c r="F25"/>
  <c r="L25" s="1"/>
  <c r="F20"/>
  <c r="E20" s="1"/>
  <c r="D20" s="1"/>
  <c r="C20" s="1"/>
  <c r="G25" i="6" l="1"/>
  <c r="G26" s="1"/>
  <c r="G21"/>
  <c r="F4" s="1"/>
  <c r="AE19"/>
  <c r="AC20" s="1"/>
  <c r="V20"/>
  <c r="V21" s="1"/>
  <c r="E25" i="5"/>
  <c r="D25" s="1"/>
  <c r="C25" s="1"/>
  <c r="E21"/>
  <c r="D21" s="1"/>
  <c r="C21" s="1"/>
  <c r="I23"/>
  <c r="J23" s="1"/>
  <c r="I19"/>
  <c r="J19" s="1"/>
  <c r="E24"/>
  <c r="D24" s="1"/>
  <c r="C24" s="1"/>
  <c r="L24"/>
  <c r="L19"/>
  <c r="L21"/>
  <c r="M21" s="1"/>
  <c r="E22"/>
  <c r="D22" s="1"/>
  <c r="C22" s="1"/>
  <c r="M25"/>
  <c r="N25"/>
  <c r="I25"/>
  <c r="J25" s="1"/>
  <c r="L22"/>
  <c r="I20"/>
  <c r="J20" s="1"/>
  <c r="L20"/>
  <c r="M23"/>
  <c r="N23"/>
  <c r="AD20" i="6"/>
  <c r="W4"/>
  <c r="E23" i="5"/>
  <c r="D23" s="1"/>
  <c r="C23" s="1"/>
  <c r="G22" i="6" l="1"/>
  <c r="AF4"/>
  <c r="AG19"/>
  <c r="AC21" s="1"/>
  <c r="X20"/>
  <c r="L6" i="8"/>
  <c r="J13"/>
  <c r="I11"/>
  <c r="J6"/>
  <c r="L11"/>
  <c r="J12"/>
  <c r="J10"/>
  <c r="L8"/>
  <c r="I12"/>
  <c r="Q12" s="1"/>
  <c r="I10"/>
  <c r="Q10" s="1"/>
  <c r="L13"/>
  <c r="L12"/>
  <c r="I13"/>
  <c r="Q13" s="1"/>
  <c r="M19" i="5"/>
  <c r="N19"/>
  <c r="N24"/>
  <c r="M24"/>
  <c r="N21"/>
  <c r="N20"/>
  <c r="M20"/>
  <c r="M22"/>
  <c r="N22"/>
  <c r="AD21" i="6"/>
  <c r="E35" i="8" l="1"/>
  <c r="E42"/>
  <c r="K12"/>
  <c r="K10"/>
  <c r="J11"/>
  <c r="L10"/>
  <c r="K13"/>
  <c r="C41"/>
  <c r="C34"/>
  <c r="C42"/>
  <c r="C35"/>
  <c r="C15" i="4"/>
  <c r="I7" i="8"/>
  <c r="L7"/>
  <c r="R15" s="1"/>
  <c r="I6"/>
  <c r="C19"/>
  <c r="C25" s="1"/>
  <c r="J7"/>
  <c r="C40"/>
  <c r="R16" l="1"/>
  <c r="E29" s="1"/>
  <c r="F21"/>
  <c r="E28" s="1"/>
  <c r="Q6"/>
  <c r="O15"/>
  <c r="C21" s="1"/>
  <c r="E25" s="1"/>
  <c r="K11"/>
  <c r="D34" s="1"/>
  <c r="Q7"/>
  <c r="D35"/>
  <c r="D42"/>
  <c r="L15"/>
  <c r="L16" s="1"/>
  <c r="D29" s="1"/>
  <c r="C43"/>
  <c r="C33"/>
  <c r="C36" s="1"/>
  <c r="D19"/>
  <c r="C26" s="1"/>
  <c r="F19"/>
  <c r="C28" s="1"/>
  <c r="F16"/>
  <c r="C29" s="1"/>
  <c r="K6"/>
  <c r="I15"/>
  <c r="C20" s="1"/>
  <c r="D25" s="1"/>
  <c r="E19"/>
  <c r="C27" s="1"/>
  <c r="K7"/>
  <c r="J15"/>
  <c r="J16" s="1"/>
  <c r="D41" l="1"/>
  <c r="E33"/>
  <c r="E40"/>
  <c r="Q11"/>
  <c r="P15"/>
  <c r="P16" s="1"/>
  <c r="K15"/>
  <c r="E20" s="1"/>
  <c r="D27" s="1"/>
  <c r="F20"/>
  <c r="D28" s="1"/>
  <c r="D40"/>
  <c r="D33"/>
  <c r="D36" s="1"/>
  <c r="D20"/>
  <c r="D26" s="1"/>
  <c r="D43" l="1"/>
  <c r="Q15"/>
  <c r="E21" s="1"/>
  <c r="E27" s="1"/>
  <c r="E34"/>
  <c r="E36" s="1"/>
  <c r="E41"/>
  <c r="E43" s="1"/>
  <c r="D21"/>
  <c r="E26" s="1"/>
  <c r="C18" i="10"/>
  <c r="D18" s="1"/>
  <c r="C17"/>
  <c r="D17" s="1"/>
  <c r="C11"/>
  <c r="D11" s="1"/>
  <c r="D8"/>
  <c r="C16"/>
  <c r="D16" s="1"/>
  <c r="C12"/>
  <c r="D12" s="1"/>
  <c r="C19"/>
  <c r="D19" s="1"/>
  <c r="C20"/>
  <c r="D20" s="1"/>
  <c r="C14"/>
  <c r="C13"/>
  <c r="D13" s="1"/>
  <c r="C10"/>
  <c r="D10" s="1"/>
  <c r="C9"/>
  <c r="D9" s="1"/>
  <c r="C15"/>
  <c r="D15" s="1"/>
  <c r="D22" l="1"/>
  <c r="C22"/>
</calcChain>
</file>

<file path=xl/comments1.xml><?xml version="1.0" encoding="utf-8"?>
<comments xmlns="http://schemas.openxmlformats.org/spreadsheetml/2006/main">
  <authors>
    <author>Charlie Grist</author>
    <author>Nick O'Neil</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 ref="K8" authorId="0">
      <text>
        <r>
          <rPr>
            <b/>
            <sz val="9"/>
            <color indexed="81"/>
            <rFont val="Tahoma"/>
            <family val="2"/>
          </rPr>
          <t>Charlie Grist:</t>
        </r>
        <r>
          <rPr>
            <sz val="9"/>
            <color indexed="81"/>
            <rFont val="Tahoma"/>
            <family val="2"/>
          </rPr>
          <t xml:space="preserve">
Does not include RTF Manager Nick.  Reduced Tom &amp; Charlie Technical Staff Work by half</t>
        </r>
      </text>
    </comment>
    <comment ref="J11" authorId="0">
      <text>
        <r>
          <rPr>
            <b/>
            <sz val="9"/>
            <color indexed="81"/>
            <rFont val="Tahoma"/>
            <family val="2"/>
          </rPr>
          <t>Charlie Grist:</t>
        </r>
        <r>
          <rPr>
            <sz val="9"/>
            <color indexed="81"/>
            <rFont val="Tahoma"/>
            <family val="2"/>
          </rPr>
          <t xml:space="preserve">
Was 8000.  Reduced to balance.
</t>
        </r>
      </text>
    </comment>
    <comment ref="H13" authorId="0">
      <text>
        <r>
          <rPr>
            <b/>
            <sz val="9"/>
            <color indexed="81"/>
            <rFont val="Tahoma"/>
            <family val="2"/>
          </rPr>
          <t>Charlie Grist:</t>
        </r>
        <r>
          <rPr>
            <sz val="9"/>
            <color indexed="81"/>
            <rFont val="Tahoma"/>
            <family val="2"/>
          </rPr>
          <t xml:space="preserve">
Reduced from 26</t>
        </r>
      </text>
    </comment>
    <comment ref="J16" authorId="1">
      <text>
        <r>
          <rPr>
            <b/>
            <sz val="9"/>
            <color indexed="81"/>
            <rFont val="Tahoma"/>
            <family val="2"/>
          </rPr>
          <t>Nick O'Neil:</t>
        </r>
        <r>
          <rPr>
            <sz val="9"/>
            <color indexed="81"/>
            <rFont val="Tahoma"/>
            <family val="2"/>
          </rPr>
          <t xml:space="preserve">
Was $3,000.</t>
        </r>
      </text>
    </comment>
    <comment ref="I28" authorId="1">
      <text>
        <r>
          <rPr>
            <b/>
            <sz val="9"/>
            <color indexed="81"/>
            <rFont val="Tahoma"/>
            <family val="2"/>
          </rPr>
          <t>Nick O'Neil:</t>
        </r>
        <r>
          <rPr>
            <sz val="9"/>
            <color indexed="81"/>
            <rFont val="Tahoma"/>
            <family val="2"/>
          </rPr>
          <t xml:space="preserve">
Was $50,000.</t>
        </r>
      </text>
    </comment>
    <comment ref="B57" authorId="1">
      <text>
        <r>
          <rPr>
            <b/>
            <sz val="9"/>
            <color indexed="81"/>
            <rFont val="Tahoma"/>
            <family val="2"/>
          </rPr>
          <t>Nick O'Neil:</t>
        </r>
        <r>
          <rPr>
            <sz val="9"/>
            <color indexed="81"/>
            <rFont val="Tahoma"/>
            <family val="2"/>
          </rPr>
          <t xml:space="preserve">
Was "Develop and execute RTF evaluation work plan"</t>
        </r>
      </text>
    </comment>
    <comment ref="F59" authorId="0">
      <text>
        <r>
          <rPr>
            <b/>
            <sz val="9"/>
            <color indexed="81"/>
            <rFont val="Tahoma"/>
            <family val="2"/>
          </rPr>
          <t>Charlie Grist:</t>
        </r>
        <r>
          <rPr>
            <sz val="9"/>
            <color indexed="81"/>
            <rFont val="Tahoma"/>
            <family val="2"/>
          </rPr>
          <t xml:space="preserve">
Was $10K</t>
        </r>
      </text>
    </comment>
    <comment ref="D80" authorId="0">
      <text>
        <r>
          <rPr>
            <b/>
            <sz val="9"/>
            <color indexed="81"/>
            <rFont val="Tahoma"/>
            <family val="2"/>
          </rPr>
          <t>Charlie Grist:</t>
        </r>
        <r>
          <rPr>
            <sz val="9"/>
            <color indexed="81"/>
            <rFont val="Tahoma"/>
            <family val="2"/>
          </rPr>
          <t xml:space="preserve">
Moved RTF Contract Manager (Nick) management duties to RTF Staff Column.</t>
        </r>
      </text>
    </comment>
  </commentList>
</comments>
</file>

<file path=xl/comments2.xml><?xml version="1.0" encoding="utf-8"?>
<comments xmlns="http://schemas.openxmlformats.org/spreadsheetml/2006/main">
  <authors>
    <author>Charlie Grist</author>
  </authors>
  <commentList>
    <comment ref="E2" authorId="0">
      <text>
        <r>
          <rPr>
            <b/>
            <sz val="9"/>
            <color indexed="81"/>
            <rFont val="Tahoma"/>
            <family val="2"/>
          </rPr>
          <t>Charlie Grist:</t>
        </r>
        <r>
          <rPr>
            <sz val="9"/>
            <color indexed="81"/>
            <rFont val="Tahoma"/>
            <family val="2"/>
          </rPr>
          <t xml:space="preserve">
Updated estimate from Terry Morlan September 2011</t>
        </r>
      </text>
    </comment>
    <comment ref="W6" authorId="0">
      <text>
        <r>
          <rPr>
            <b/>
            <sz val="9"/>
            <color indexed="81"/>
            <rFont val="Tahoma"/>
            <family val="2"/>
          </rPr>
          <t>Charlie Grist:</t>
        </r>
        <r>
          <rPr>
            <sz val="9"/>
            <color indexed="81"/>
            <rFont val="Tahoma"/>
            <family val="2"/>
          </rPr>
          <t xml:space="preserve">
Use average staff rate times overhead multiplier of 1.4 from Sharon Ossmann</t>
        </r>
      </text>
    </comment>
    <comment ref="W20" author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comments3.xml><?xml version="1.0" encoding="utf-8"?>
<comments xmlns="http://schemas.openxmlformats.org/spreadsheetml/2006/main">
  <authors>
    <author>Charlie Grist</author>
  </authors>
  <commentList>
    <comment ref="C4"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<sst xmlns="http://schemas.openxmlformats.org/spreadsheetml/2006/main" count="465" uniqueCount="304">
  <si>
    <t>Coordinate annual comparison of utility/SBC administrator TRM</t>
  </si>
  <si>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</si>
  <si>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</si>
  <si>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</si>
  <si>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</si>
  <si>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</si>
  <si>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</si>
  <si>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</si>
  <si>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</si>
  <si>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</si>
  <si>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</si>
  <si>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</si>
  <si>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</si>
  <si>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</si>
  <si>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</si>
  <si>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</si>
  <si>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</si>
  <si>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</si>
  <si>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</si>
  <si>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Placeholder</t>
  </si>
  <si>
    <t>Note</t>
  </si>
  <si>
    <t>RTF Members and Corresponding Members meeting and project support.</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</si>
  <si>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</si>
  <si>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</si>
  <si>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</si>
  <si>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</si>
  <si>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</si>
  <si>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</si>
  <si>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</si>
  <si>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</si>
  <si>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</si>
  <si>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</si>
  <si>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</si>
  <si>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</si>
  <si>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</si>
  <si>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</si>
  <si>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</si>
  <si>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</si>
  <si>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</si>
  <si>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</si>
  <si>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</si>
  <si>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</si>
  <si>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</si>
  <si>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</si>
  <si>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</si>
  <si>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</si>
  <si>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</si>
  <si>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</si>
  <si>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</si>
  <si>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</si>
  <si>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</si>
  <si>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RTF Staff</t>
  </si>
  <si>
    <t xml:space="preserve">Website, Database support, Conservation Tracking </t>
  </si>
  <si>
    <t>Category</t>
  </si>
  <si>
    <t>Standardization of Technical Analysis</t>
  </si>
  <si>
    <t>RTF Management</t>
  </si>
  <si>
    <t>Existing Measure Review &amp; Updates</t>
  </si>
  <si>
    <t>Contract</t>
  </si>
  <si>
    <t>Month</t>
  </si>
  <si>
    <t>Week</t>
  </si>
  <si>
    <t>Day</t>
  </si>
  <si>
    <t>Hour</t>
  </si>
  <si>
    <t>Annual</t>
  </si>
  <si>
    <t>Rate</t>
  </si>
  <si>
    <t>1 Day</t>
  </si>
  <si>
    <t>2 Day</t>
  </si>
  <si>
    <t>3 Day</t>
  </si>
  <si>
    <t>1 Week</t>
  </si>
  <si>
    <t>2 Week</t>
  </si>
  <si>
    <t>3 Week</t>
  </si>
  <si>
    <t>Contracts</t>
  </si>
  <si>
    <t>Tool Development</t>
  </si>
  <si>
    <t>SEEM Development</t>
  </si>
  <si>
    <t>New Measure Development &amp; Review of Unsolicited Proposals</t>
  </si>
  <si>
    <t>Subtotal Funders</t>
  </si>
  <si>
    <t>Council Staff</t>
  </si>
  <si>
    <t>n units</t>
  </si>
  <si>
    <t>Contract cost per unit</t>
  </si>
  <si>
    <t>Regional Coordination</t>
  </si>
  <si>
    <t>Facilitate collaborative regional evaluation of PTCS</t>
  </si>
  <si>
    <t>Annual Conservation Tracking Report</t>
  </si>
  <si>
    <t>Website development and management</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</si>
  <si>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</si>
  <si>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</si>
  <si>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</si>
  <si>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</si>
  <si>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</si>
  <si>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</si>
  <si>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</si>
  <si>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</si>
  <si>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</si>
  <si>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</si>
  <si>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</si>
  <si>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</si>
  <si>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</si>
  <si>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</si>
  <si>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</si>
  <si>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</si>
  <si>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</si>
  <si>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</si>
  <si>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</si>
  <si>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</si>
  <si>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</si>
  <si>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</si>
  <si>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</si>
  <si>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</si>
  <si>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</si>
  <si>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</si>
  <si>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</si>
  <si>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</si>
  <si>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</si>
  <si>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</si>
  <si>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</si>
  <si>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</si>
  <si>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</si>
  <si>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 xml:space="preserve">Purpose is to help prioritize RTF work plan </t>
  </si>
  <si>
    <t>Performance Tested Comfort Systems (PTCS)</t>
  </si>
  <si>
    <t>Annual Report</t>
  </si>
  <si>
    <t>Calendar 2013</t>
  </si>
  <si>
    <t>Calendar 2014</t>
  </si>
  <si>
    <t>Scale Factor</t>
  </si>
  <si>
    <t>Decrease pace of tool development.</t>
  </si>
  <si>
    <t>Decrease after initial push to document methods and standards.</t>
  </si>
  <si>
    <t>Increase assuming regional value.</t>
  </si>
  <si>
    <t>Constant.</t>
  </si>
  <si>
    <t>Sheet Name</t>
  </si>
  <si>
    <t>Notes</t>
  </si>
  <si>
    <t>Estimate of NPCC In-Kind Costs</t>
  </si>
  <si>
    <t>Table of Contents</t>
  </si>
  <si>
    <t>Typical Rates for RTF Activities</t>
  </si>
  <si>
    <t>NPCC In Kind</t>
  </si>
  <si>
    <t>Typical Rates</t>
  </si>
  <si>
    <t xml:space="preserve"> Assumptions used to estimate approximate costs of contractor, and RTF staff work.  Use as a reference.    </t>
  </si>
  <si>
    <t>Breakdown of NPCC staff cost estimates.</t>
  </si>
  <si>
    <t>Minutes $24K, phone/web conference $7K</t>
  </si>
  <si>
    <t>Organization</t>
  </si>
  <si>
    <t>Share of RTF Budget</t>
  </si>
  <si>
    <t>Proposed Contribution to RTF Budget Rounded</t>
  </si>
  <si>
    <t>Committed as of end of December 2010</t>
  </si>
  <si>
    <t>Committed as of April 2011</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</si>
  <si>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</si>
  <si>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</si>
  <si>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</si>
  <si>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</si>
  <si>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</si>
  <si>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</si>
  <si>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</si>
  <si>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</si>
  <si>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</si>
  <si>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</si>
  <si>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</si>
  <si>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</si>
  <si>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</si>
  <si>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</si>
  <si>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Note:  This is temporary pending RTF PAC Resolution</t>
  </si>
  <si>
    <t>Estimated Funding Shares</t>
  </si>
  <si>
    <t>Based on Funding Level</t>
  </si>
  <si>
    <t>Funding Shares</t>
  </si>
  <si>
    <t>Collect and Summarize Evaluation activity and spending by Utilities, BPA, ETO</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</si>
  <si>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</si>
  <si>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</si>
  <si>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</si>
  <si>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</si>
  <si>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</si>
  <si>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</si>
  <si>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CY 2013</t>
  </si>
  <si>
    <t>CY 2014</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</si>
  <si>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</si>
  <si>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</si>
  <si>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</si>
  <si>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</si>
  <si>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</si>
  <si>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</si>
  <si>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</si>
  <si>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</si>
  <si>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Category (2013)</t>
  </si>
  <si>
    <t>Category Detail (2013)</t>
  </si>
  <si>
    <t>Detailed budget for 2013.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</si>
  <si>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Category Level Budget for 2013</t>
  </si>
  <si>
    <t>Cells are linked to worksheet  "Category" for 2013</t>
  </si>
  <si>
    <t>Estimate of NPCC Staff Administration Cost for RTF (2013)</t>
  </si>
  <si>
    <t>Convert old deemed measure to Proven UES</t>
  </si>
  <si>
    <t xml:space="preserve">Periodic Update of Proven UES </t>
  </si>
  <si>
    <t>Provisional to Proven UES</t>
  </si>
  <si>
    <t>Total New Work 2013</t>
  </si>
  <si>
    <t>Budget Category Detail Worksheet for 2013</t>
  </si>
  <si>
    <t>End Use Load Data Library Development and Maintenance</t>
  </si>
  <si>
    <t>RTF member support for meetings, travel, and specific project reviews</t>
  </si>
  <si>
    <t xml:space="preserve">Manage RTF business activities, contracts, financial, bylaws, RTF PAC </t>
  </si>
  <si>
    <t>ProCost:  BPA Conservation Tracking system integration</t>
  </si>
  <si>
    <t>Functionality added to pull component level savings, cost, life information out of website for public use</t>
  </si>
  <si>
    <t>Measure component level information database development</t>
  </si>
  <si>
    <t>Funding for Phase II of Air Sealing Research</t>
  </si>
  <si>
    <t>Adding infiltration and foundation temp data and calibration from RBSA survey and metering results</t>
  </si>
  <si>
    <t>SEEM Updates (incorporation of RBSA Data and Calibration)</t>
  </si>
  <si>
    <t>Update Proven UES Measures &amp; Measure Specifications slated to Sunset</t>
  </si>
  <si>
    <t>Update UES measures which have Recommendation Memos developed</t>
  </si>
  <si>
    <t>Bring Provisional UES measures to Proven Category</t>
  </si>
  <si>
    <t>Review &amp; Develop Research Plans for Out of Compliance Measures</t>
  </si>
  <si>
    <t>Bring Provisional Protocols to Proven Category</t>
  </si>
  <si>
    <t>Review New UES or New Protocols (Either Known or Unsolicited)</t>
  </si>
  <si>
    <t>Increase rate of new measure and protocol development at beginning of 2015 cycle.</t>
  </si>
  <si>
    <t>Shift some Council staff duties to RTF Contract staff or new Council staff as procedures become standardized.</t>
  </si>
  <si>
    <t>ProCost:  Engine updates and ongoing maintenance</t>
  </si>
  <si>
    <t>ECAM Development and ongoing maintenance</t>
  </si>
  <si>
    <t>Possibly pulling ProCost out of measure workbooks, or adding version check for most recent version into macro</t>
  </si>
  <si>
    <t>May be low priority because of cost, but important to Lighting SP</t>
  </si>
  <si>
    <t>Expect that various end-uses will be entered in to newly developed database, and some maintenance may be needed</t>
  </si>
  <si>
    <t>Planning and modeling for upcoming code change work</t>
  </si>
  <si>
    <t>Review Seventh Power Plan Inputs and Supply Curves</t>
  </si>
  <si>
    <t>Hold constant for 2-year review cycle for all existing measures.  Decrease in cost of updates beginning 2015 cycle.</t>
  </si>
  <si>
    <t>Update workbooks with new RBSA data</t>
  </si>
  <si>
    <t>Develop New Measures for Small &amp; Rural utilities</t>
  </si>
  <si>
    <t>Review of Evaluation Plans as Requested (Subcommittee Facilitation)</t>
  </si>
  <si>
    <t>Other Updates to Guidelines as needed</t>
  </si>
  <si>
    <t>Placeholder for misc. updates to Guidelines, including possible development of training materials for guidelines and documentation on how to use</t>
  </si>
  <si>
    <t>Develop Guidelines (Appendix G - Behavioral Life)</t>
  </si>
  <si>
    <t>Development of Appendix G for estimating effective useful life of behavioral measures</t>
  </si>
  <si>
    <t>Assumes this will replace RTU calculator and has applicability to other protocols using time-series data</t>
  </si>
  <si>
    <t>Detail by Category</t>
  </si>
  <si>
    <t>Placeholder for potential facilitator to lead Evaluation Subcommittee and aid in RTF review of evaluation plans</t>
  </si>
  <si>
    <t>Assume Tracking tool will be operational in 2013 and ProCost may need modifications. Previously allotted $12k to EE Central integration</t>
  </si>
  <si>
    <t>Test NBI tool (first-view) and others against probven end-use data to confirm proper parsing of end-uses using whole buildings meter data</t>
  </si>
  <si>
    <t>Continuation of work Warren Cook was undertaking in 2012 but needed to defer until BPA implemented specifications, which is expected Q1 of 2013.</t>
  </si>
  <si>
    <t>TRM - Technical Resource Manuals. Comparison used as basis for determining which non-RTF measures/protocols held "in common".  Helps prioritize RTF work plan elements.</t>
  </si>
  <si>
    <t>Placeholder for coordination work with NEEA and other regional stakeholder groups</t>
  </si>
  <si>
    <t>Ongoing management and maintenance with website functions</t>
  </si>
  <si>
    <t>Typically one to two meetings per month for active subcommittees</t>
  </si>
  <si>
    <t>Update  Guidelines</t>
  </si>
  <si>
    <t>Develop a Standard Protocol</t>
  </si>
  <si>
    <t>Develop Standard Protocol and Calculator</t>
  </si>
  <si>
    <t>Produce a Calculator for a Standard Protocol</t>
  </si>
  <si>
    <t>Assumption based on 2012 findings of around $11k per measure for savings, cost and life updates. Assume staff does most of the updating and 3rd party contractor reviews</t>
  </si>
  <si>
    <t>Finalize Standard Protocols from Deemed Calculator Conversion Project</t>
  </si>
  <si>
    <t>Simplifying user-input for heat pump HSPF and HP control strategy, standardizing internal gains calculator.  Intend to post to website and provide documentation</t>
  </si>
  <si>
    <t xml:space="preserve">
RTF Staff</t>
  </si>
  <si>
    <t>Assume update to Grocery Refrigeration protocol, or update to RTU cooling and savings protocol to incorporate additional elements. Staff takes grocery, contract out for RTU</t>
  </si>
  <si>
    <t>Eight Expected, 4 placeholders: Cold Climate DHP, DHP (site built FAF), Com showerheads, Ag VFDs, Res Power strips, ASHP for MH, PTCS duct sealing for NC, Open-Loop GSHP). Assumes proposers do most development work. Includes development of small savers from proven UES for small/rural</t>
  </si>
  <si>
    <t>Approved 2012</t>
  </si>
  <si>
    <t>Subtotal Funders 2012</t>
  </si>
  <si>
    <t>Council In-Kind Contribution 2013</t>
  </si>
  <si>
    <t>Subtotal Funders 
2013</t>
  </si>
  <si>
    <t>Guidelines training, webinars, presentations related to RTF matters</t>
  </si>
  <si>
    <t>RTF Outreach and Training</t>
  </si>
  <si>
    <t>Cost $2,500 in 2012 so decreased from $5,000 for contract component. Expect more in 2014 for 3-year roll-up.</t>
  </si>
  <si>
    <t>Staff</t>
  </si>
  <si>
    <t>RTF Meetings, phone, web conference, meeting minutes</t>
  </si>
  <si>
    <t>Assume 5 from 2012 (Ag Hardware, Anti-Sweat heaters, MF weatherization, 2 placeholders) review require additional data develiopment by contractors plus half of SBW recommendations</t>
  </si>
  <si>
    <t>Includes updates to heating systems (10), DHW (4), Lighting (6), Appliances (6), Weatherization (8), plus misc. appliances for multiple sectors</t>
  </si>
  <si>
    <t>This may decrease due to more work being brought in house, however current allocation was underfunded</t>
  </si>
  <si>
    <t>Collaboration with NEEA on code updates for measures impacted by building code changes</t>
  </si>
  <si>
    <t>Whole Building Meter End-Use data validation (comparison to ELCAP data)</t>
  </si>
  <si>
    <t>Update Lighting and HVAC interaction Factors with more recent assumptions</t>
  </si>
  <si>
    <t>Calendar 2015</t>
  </si>
  <si>
    <t>CY 2015</t>
  </si>
  <si>
    <t>Category Level Budget for 2013-2015</t>
  </si>
  <si>
    <t>Category (2013-2015)</t>
  </si>
  <si>
    <t>Three year work plan by category.  No detail for out years.  Uses scaling factors for category level totals.</t>
  </si>
  <si>
    <t>Placeholder for misc. resaerch projects that may materialize</t>
  </si>
  <si>
    <t>Populate remaining components of EUL Default Table</t>
  </si>
  <si>
    <t>End Use Business Case Recommendation Solicitation</t>
  </si>
  <si>
    <t>Development of brochure and other materials aimed at soliciting regional stakeholders for interest in end-use research</t>
  </si>
  <si>
    <t>Completion of EUL Default Table. Likely to require some primary research not included in proven development above. Assume 8 high priority measures require research.</t>
  </si>
  <si>
    <t>Data Warehousing (Provisional data collection for Standard Protocols)</t>
  </si>
  <si>
    <t>-10K</t>
  </si>
  <si>
    <t>+10K</t>
  </si>
  <si>
    <t>+16K</t>
  </si>
  <si>
    <t xml:space="preserve"> </t>
  </si>
  <si>
    <t>% of total</t>
  </si>
  <si>
    <t>Proposed 2013</t>
  </si>
  <si>
    <t>Staff Proposed - October, 2013</t>
  </si>
  <si>
    <t>Category-level budget for 2013.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</si>
  <si>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Funding shares by sponsors based on  NEEA formula previously used.  RTF Policy Advisory Committee is considering other funding share options for the future.</t>
  </si>
  <si>
    <t>Relatively constant, with increase assumed for increasing member costs over time</t>
  </si>
  <si>
    <t>RTF web site continues hosting and maintaining some data sources for public reference. Fan &amp; Pump VFD, RTU, Lighting, &amp; 5-deemed calculators (potentially)</t>
  </si>
  <si>
    <t>Coordinatrion of UES and Standard Protocol data collection efforts</t>
  </si>
  <si>
    <t>Placeholder for several research results due in 2013, likely to increase role in 2014</t>
  </si>
  <si>
    <t>Change from 09/17/12 draft</t>
  </si>
  <si>
    <t>Expect this to be part of RTF member duties to review measures applicable to the RTF and council. Convene outside review panel for non-RTF UES estimates for 7th plan</t>
  </si>
  <si>
    <t>Sub-section % of total</t>
  </si>
  <si>
    <t>+28K</t>
  </si>
  <si>
    <t>-20K</t>
  </si>
  <si>
    <t>Steve Simmons/Gillian Charles</t>
  </si>
  <si>
    <t>Charlie Black</t>
  </si>
  <si>
    <t>Aggar Asseffa</t>
  </si>
  <si>
    <t>Council Staff (In-Kind)</t>
  </si>
  <si>
    <t>Technical Analysis</t>
  </si>
  <si>
    <t xml:space="preserve">Tool Development, Research, Regional Coordination </t>
  </si>
  <si>
    <t>Administration</t>
  </si>
  <si>
    <t>Contract RFP
2013</t>
  </si>
  <si>
    <t>RTF Contract Staff 
2013</t>
  </si>
  <si>
    <t>Contract RFP 2012</t>
  </si>
  <si>
    <t>RTF Contract Staff 
2012</t>
  </si>
  <si>
    <t>Contract RFP</t>
  </si>
  <si>
    <t>Contract Staff</t>
  </si>
  <si>
    <t>Nick O'Neil</t>
  </si>
  <si>
    <t>RTF Manager</t>
  </si>
  <si>
    <t>Estimate of NPCC Staff Administration Cost for RTF (2012)</t>
  </si>
  <si>
    <t>Technical</t>
  </si>
  <si>
    <t>Admin</t>
  </si>
  <si>
    <t>Without Nick O'Neil</t>
  </si>
  <si>
    <t>-30K</t>
  </si>
  <si>
    <t>-37K</t>
  </si>
  <si>
    <t>-32K</t>
  </si>
</sst>
</file>

<file path=xl/styles.xml><?xml version="1.0" encoding="utf-8"?>
<styleSheet xmlns="http://schemas.openxmlformats.org/spreadsheetml/2006/main">
  <numFmts count="9">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s>
  <fonts count="33">
    <font>
      <sz val="11"/>
      <color theme="1"/>
      <name val="Calibri"/>
      <family val="2"/>
      <scheme val="minor"/>
    </font>
    <font>
      <sz val="10"/>
      <color indexed="8"/>
      <name val="Arial"/>
      <family val="2"/>
    </font>
    <font>
      <sz val="10"/>
      <color indexed="8"/>
      <name val="Arial"/>
      <family val="2"/>
    </font>
    <font>
      <sz val="10"/>
      <color indexed="8"/>
      <name val="Arial"/>
      <family val="2"/>
    </font>
    <font>
      <sz val="11"/>
      <color indexed="8"/>
      <name val="Calibri"/>
      <family val="2"/>
    </font>
    <font>
      <sz val="10"/>
      <name val="Arial"/>
      <family val="2"/>
    </font>
    <font>
      <b/>
      <sz val="11"/>
      <color theme="1"/>
      <name val="Calibri"/>
      <family val="2"/>
      <scheme val="minor"/>
    </font>
    <font>
      <b/>
      <sz val="10"/>
      <color indexed="8"/>
      <name val="Arial"/>
      <family val="2"/>
    </font>
    <font>
      <b/>
      <sz val="12"/>
      <color indexed="8"/>
      <name val="Arial"/>
      <family val="2"/>
    </font>
    <font>
      <sz val="12"/>
      <color indexed="8"/>
      <name val="Arial"/>
      <family val="2"/>
    </font>
    <font>
      <sz val="8"/>
      <color theme="1"/>
      <name val="Calibri"/>
      <family val="2"/>
      <scheme val="minor"/>
    </font>
    <font>
      <sz val="11"/>
      <color indexed="8"/>
      <name val="Arial"/>
      <family val="2"/>
    </font>
    <font>
      <b/>
      <sz val="10"/>
      <name val="Arial"/>
      <family val="2"/>
    </font>
    <font>
      <b/>
      <sz val="9"/>
      <color indexed="81"/>
      <name val="Tahoma"/>
      <family val="2"/>
    </font>
    <font>
      <sz val="9"/>
      <color indexed="81"/>
      <name val="Tahoma"/>
      <family val="2"/>
    </font>
    <font>
      <i/>
      <sz val="11"/>
      <color theme="1"/>
      <name val="Calibri"/>
      <family val="2"/>
      <scheme val="minor"/>
    </font>
    <font>
      <sz val="11"/>
      <name val="Calibri"/>
      <family val="2"/>
      <scheme val="minor"/>
    </font>
    <font>
      <sz val="11"/>
      <color rgb="FF00B050"/>
      <name val="Calibri"/>
      <family val="2"/>
      <scheme val="minor"/>
    </font>
    <font>
      <sz val="11"/>
      <color rgb="FF00B050"/>
      <name val="Arial"/>
      <family val="2"/>
    </font>
    <font>
      <sz val="8"/>
      <name val="Verdana"/>
      <family val="2"/>
    </font>
    <font>
      <sz val="11"/>
      <color indexed="11"/>
      <name val="Calibri"/>
      <family val="2"/>
    </font>
    <font>
      <sz val="11"/>
      <name val="Calibri"/>
      <family val="2"/>
    </font>
    <font>
      <sz val="12"/>
      <name val="Arial"/>
      <family val="2"/>
    </font>
    <font>
      <sz val="11"/>
      <name val="Arial"/>
      <family val="2"/>
    </font>
    <font>
      <sz val="11"/>
      <color theme="1"/>
      <name val="Calibri"/>
      <family val="2"/>
      <scheme val="minor"/>
    </font>
    <font>
      <sz val="18"/>
      <color theme="1"/>
      <name val="Calibri"/>
      <family val="2"/>
      <scheme val="minor"/>
    </font>
    <font>
      <b/>
      <sz val="14"/>
      <color indexed="8"/>
      <name val="Calibri"/>
      <family val="2"/>
      <scheme val="minor"/>
    </font>
    <font>
      <sz val="11"/>
      <color theme="1"/>
      <name val="Arial"/>
      <family val="2"/>
    </font>
    <font>
      <sz val="11"/>
      <color rgb="FF0070C0"/>
      <name val="Arial"/>
      <family val="2"/>
    </font>
    <font>
      <b/>
      <sz val="11"/>
      <color theme="1"/>
      <name val="Arial"/>
      <family val="2"/>
    </font>
    <font>
      <sz val="11"/>
      <color indexed="11"/>
      <name val="Arial"/>
      <family val="2"/>
    </font>
    <font>
      <sz val="12"/>
      <color theme="1"/>
      <name val="Arial"/>
      <family val="2"/>
    </font>
    <font>
      <b/>
      <sz val="18"/>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C000"/>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44" fontId="4"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78">
    <xf numFmtId="0" fontId="0" fillId="0" borderId="0" xfId="0"/>
    <xf numFmtId="0" fontId="9" fillId="0" borderId="0" xfId="0" applyFont="1"/>
    <xf numFmtId="0" fontId="0" fillId="0" borderId="0" xfId="0" applyAlignment="1">
      <alignment wrapText="1"/>
    </xf>
    <xf numFmtId="5" fontId="0" fillId="0" borderId="0" xfId="1" applyNumberFormat="1" applyFont="1" applyAlignment="1">
      <alignment horizontal="center" vertical="center"/>
    </xf>
    <xf numFmtId="5" fontId="0" fillId="0" borderId="0" xfId="0" applyNumberFormat="1"/>
    <xf numFmtId="0" fontId="8" fillId="0" borderId="0" xfId="0" applyFont="1" applyAlignment="1">
      <alignment wrapText="1"/>
    </xf>
    <xf numFmtId="0" fontId="10" fillId="0" borderId="0" xfId="0" applyFont="1" applyAlignment="1">
      <alignment horizontal="right"/>
    </xf>
    <xf numFmtId="164" fontId="0" fillId="0" borderId="0" xfId="1" applyNumberFormat="1" applyFont="1" applyAlignment="1">
      <alignment wrapText="1"/>
    </xf>
    <xf numFmtId="0" fontId="11" fillId="0" borderId="0" xfId="0" applyFont="1"/>
    <xf numFmtId="0" fontId="3" fillId="5" borderId="3" xfId="3" applyFont="1" applyFill="1" applyBorder="1" applyAlignment="1">
      <alignment vertical="center" wrapText="1"/>
    </xf>
    <xf numFmtId="5" fontId="0" fillId="5" borderId="2" xfId="0" applyNumberFormat="1" applyFill="1" applyBorder="1" applyAlignment="1">
      <alignment horizontal="center" vertical="center"/>
    </xf>
    <xf numFmtId="0" fontId="1" fillId="5" borderId="3" xfId="3" applyFont="1" applyFill="1" applyBorder="1" applyAlignment="1">
      <alignment vertical="center" wrapText="1"/>
    </xf>
    <xf numFmtId="0" fontId="7" fillId="3" borderId="2" xfId="3" applyFont="1" applyFill="1" applyBorder="1"/>
    <xf numFmtId="0" fontId="7" fillId="3" borderId="2" xfId="3" applyFont="1" applyFill="1" applyBorder="1" applyAlignment="1">
      <alignment horizontal="center" wrapText="1"/>
    </xf>
    <xf numFmtId="0" fontId="0" fillId="0" borderId="2" xfId="0" applyBorder="1" applyAlignment="1">
      <alignment vertical="center" wrapText="1"/>
    </xf>
    <xf numFmtId="0" fontId="2" fillId="6" borderId="3" xfId="3" applyFont="1" applyFill="1" applyBorder="1" applyAlignment="1">
      <alignment vertical="center" wrapText="1"/>
    </xf>
    <xf numFmtId="5" fontId="0" fillId="6" borderId="2" xfId="0" applyNumberFormat="1" applyFill="1" applyBorder="1" applyAlignment="1">
      <alignment horizontal="center" vertical="center"/>
    </xf>
    <xf numFmtId="0" fontId="0" fillId="6" borderId="2" xfId="0" applyFill="1" applyBorder="1" applyAlignment="1">
      <alignment vertical="center" wrapText="1"/>
    </xf>
    <xf numFmtId="0" fontId="1" fillId="6" borderId="3" xfId="3" applyFont="1" applyFill="1" applyBorder="1" applyAlignment="1">
      <alignment vertical="center" wrapText="1"/>
    </xf>
    <xf numFmtId="0" fontId="0" fillId="5" borderId="2" xfId="0" applyFill="1" applyBorder="1" applyAlignment="1">
      <alignment vertical="center" wrapText="1"/>
    </xf>
    <xf numFmtId="0" fontId="3" fillId="8" borderId="3" xfId="3" applyFont="1" applyFill="1" applyBorder="1" applyAlignment="1">
      <alignment vertical="center" wrapText="1"/>
    </xf>
    <xf numFmtId="5" fontId="0" fillId="8" borderId="2" xfId="0" applyNumberFormat="1" applyFill="1" applyBorder="1" applyAlignment="1">
      <alignment horizontal="center" vertical="center"/>
    </xf>
    <xf numFmtId="0" fontId="0" fillId="8" borderId="2" xfId="0" applyFill="1" applyBorder="1" applyAlignment="1">
      <alignment vertical="center" wrapText="1"/>
    </xf>
    <xf numFmtId="0" fontId="2" fillId="8" borderId="3" xfId="3" applyFont="1" applyFill="1" applyBorder="1" applyAlignment="1">
      <alignment vertical="center" wrapText="1"/>
    </xf>
    <xf numFmtId="0" fontId="12" fillId="0" borderId="0" xfId="3" applyFont="1"/>
    <xf numFmtId="0" fontId="5" fillId="0" borderId="0" xfId="3"/>
    <xf numFmtId="165" fontId="0" fillId="7" borderId="3" xfId="6" applyNumberFormat="1" applyFont="1" applyFill="1" applyBorder="1"/>
    <xf numFmtId="0" fontId="5" fillId="7" borderId="1" xfId="3" applyFill="1" applyBorder="1"/>
    <xf numFmtId="165" fontId="0" fillId="7" borderId="0" xfId="6" applyNumberFormat="1" applyFont="1" applyFill="1"/>
    <xf numFmtId="0" fontId="5" fillId="7" borderId="0" xfId="3" applyFill="1"/>
    <xf numFmtId="0" fontId="12" fillId="9" borderId="2" xfId="3" applyFont="1" applyFill="1" applyBorder="1" applyAlignment="1">
      <alignment wrapText="1"/>
    </xf>
    <xf numFmtId="0" fontId="5" fillId="0" borderId="2" xfId="3" applyBorder="1"/>
    <xf numFmtId="9" fontId="5" fillId="0" borderId="2" xfId="3" applyNumberFormat="1" applyBorder="1"/>
    <xf numFmtId="0" fontId="5" fillId="0" borderId="2" xfId="3" applyFill="1" applyBorder="1"/>
    <xf numFmtId="9" fontId="5" fillId="0" borderId="2" xfId="4" applyBorder="1"/>
    <xf numFmtId="9" fontId="5" fillId="2" borderId="2" xfId="3" applyNumberFormat="1" applyFill="1" applyBorder="1"/>
    <xf numFmtId="9" fontId="5" fillId="0" borderId="0" xfId="3" applyNumberFormat="1"/>
    <xf numFmtId="164" fontId="5" fillId="0" borderId="0" xfId="2" applyNumberFormat="1"/>
    <xf numFmtId="0" fontId="12" fillId="4" borderId="2" xfId="3" applyFont="1" applyFill="1" applyBorder="1"/>
    <xf numFmtId="165" fontId="12" fillId="4" borderId="2" xfId="6" applyNumberFormat="1" applyFont="1" applyFill="1" applyBorder="1"/>
    <xf numFmtId="0" fontId="12" fillId="4" borderId="0" xfId="3" applyFont="1" applyFill="1" applyBorder="1"/>
    <xf numFmtId="165" fontId="12" fillId="4" borderId="0" xfId="6" applyNumberFormat="1" applyFont="1" applyFill="1" applyBorder="1"/>
    <xf numFmtId="164" fontId="12" fillId="4" borderId="0" xfId="3" applyNumberFormat="1" applyFont="1" applyFill="1"/>
    <xf numFmtId="9" fontId="5" fillId="0" borderId="0" xfId="3" applyNumberFormat="1" applyFill="1"/>
    <xf numFmtId="164" fontId="5" fillId="0" borderId="0" xfId="3" applyNumberFormat="1"/>
    <xf numFmtId="0" fontId="15" fillId="0" borderId="0" xfId="0" applyFont="1"/>
    <xf numFmtId="0" fontId="17" fillId="0" borderId="0" xfId="0" applyFont="1" applyAlignment="1">
      <alignment wrapText="1"/>
    </xf>
    <xf numFmtId="0" fontId="0" fillId="0" borderId="0" xfId="0" applyFill="1"/>
    <xf numFmtId="164" fontId="0" fillId="0" borderId="0" xfId="1" applyNumberFormat="1" applyFont="1" applyFill="1" applyAlignment="1">
      <alignment wrapText="1"/>
    </xf>
    <xf numFmtId="0" fontId="17" fillId="0" borderId="0" xfId="0" applyFont="1"/>
    <xf numFmtId="164" fontId="16" fillId="0" borderId="0" xfId="1" applyNumberFormat="1" applyFont="1" applyAlignment="1">
      <alignment wrapText="1"/>
    </xf>
    <xf numFmtId="0" fontId="6" fillId="10" borderId="0" xfId="0" applyFont="1" applyFill="1"/>
    <xf numFmtId="0" fontId="0" fillId="10" borderId="0" xfId="0" applyFill="1"/>
    <xf numFmtId="0" fontId="21" fillId="3" borderId="0" xfId="0" applyFont="1" applyFill="1"/>
    <xf numFmtId="0" fontId="16" fillId="3" borderId="0" xfId="0" applyFont="1" applyFill="1"/>
    <xf numFmtId="0" fontId="20" fillId="3" borderId="0" xfId="0" applyFont="1" applyFill="1"/>
    <xf numFmtId="0" fontId="0" fillId="3" borderId="0" xfId="0" applyFill="1"/>
    <xf numFmtId="0" fontId="5" fillId="6" borderId="0" xfId="3" applyFill="1"/>
    <xf numFmtId="164" fontId="0" fillId="6" borderId="0" xfId="2" applyNumberFormat="1" applyFont="1" applyFill="1"/>
    <xf numFmtId="9" fontId="0" fillId="0" borderId="6" xfId="0" applyNumberFormat="1" applyBorder="1"/>
    <xf numFmtId="0" fontId="0" fillId="0" borderId="0" xfId="0" applyBorder="1"/>
    <xf numFmtId="1" fontId="0" fillId="0" borderId="0" xfId="0" applyNumberFormat="1" applyBorder="1"/>
    <xf numFmtId="1" fontId="0" fillId="0" borderId="9" xfId="0" applyNumberFormat="1" applyBorder="1"/>
    <xf numFmtId="166" fontId="0" fillId="0" borderId="9" xfId="0" applyNumberFormat="1" applyBorder="1"/>
    <xf numFmtId="9" fontId="0" fillId="0" borderId="10" xfId="0" applyNumberFormat="1" applyBorder="1"/>
    <xf numFmtId="166" fontId="0" fillId="0" borderId="12" xfId="0" applyNumberFormat="1" applyBorder="1"/>
    <xf numFmtId="0" fontId="0" fillId="0" borderId="2" xfId="0" applyBorder="1" applyAlignment="1">
      <alignment horizontal="center"/>
    </xf>
    <xf numFmtId="0" fontId="0" fillId="11" borderId="2" xfId="0" applyFill="1" applyBorder="1" applyAlignment="1">
      <alignment horizontal="center"/>
    </xf>
    <xf numFmtId="0" fontId="0" fillId="12" borderId="2" xfId="0" applyFill="1" applyBorder="1" applyAlignment="1">
      <alignment horizontal="center"/>
    </xf>
    <xf numFmtId="9" fontId="0" fillId="0" borderId="2" xfId="4" applyFont="1" applyBorder="1" applyAlignment="1">
      <alignment horizontal="center"/>
    </xf>
    <xf numFmtId="0" fontId="0" fillId="0" borderId="11" xfId="0" applyBorder="1"/>
    <xf numFmtId="1" fontId="0" fillId="0" borderId="11" xfId="0" applyNumberFormat="1" applyBorder="1"/>
    <xf numFmtId="0" fontId="0" fillId="0" borderId="2" xfId="0" applyBorder="1" applyAlignment="1">
      <alignment horizontal="left"/>
    </xf>
    <xf numFmtId="0" fontId="6" fillId="10" borderId="5" xfId="0" applyFont="1" applyFill="1" applyBorder="1" applyAlignment="1">
      <alignment wrapText="1"/>
    </xf>
    <xf numFmtId="0" fontId="6" fillId="10" borderId="7" xfId="0" applyFont="1" applyFill="1" applyBorder="1" applyAlignment="1">
      <alignment wrapText="1"/>
    </xf>
    <xf numFmtId="0" fontId="6" fillId="10" borderId="8" xfId="0" applyFont="1" applyFill="1" applyBorder="1" applyAlignment="1">
      <alignment wrapText="1"/>
    </xf>
    <xf numFmtId="0" fontId="25" fillId="0" borderId="0" xfId="0" applyFont="1"/>
    <xf numFmtId="0" fontId="0" fillId="0" borderId="0" xfId="0" applyAlignment="1"/>
    <xf numFmtId="0" fontId="20" fillId="0" borderId="0" xfId="0" applyFont="1" applyFill="1"/>
    <xf numFmtId="0" fontId="7" fillId="0" borderId="2" xfId="3" applyFont="1" applyBorder="1" applyAlignment="1">
      <alignment vertical="center" wrapText="1"/>
    </xf>
    <xf numFmtId="5" fontId="6" fillId="0" borderId="2" xfId="0" applyNumberFormat="1" applyFont="1" applyBorder="1" applyAlignment="1">
      <alignment horizontal="center" vertical="center"/>
    </xf>
    <xf numFmtId="9" fontId="0" fillId="0" borderId="2" xfId="0" applyNumberFormat="1" applyBorder="1" applyAlignment="1">
      <alignment horizontal="center" vertical="center"/>
    </xf>
    <xf numFmtId="5" fontId="0" fillId="0" borderId="2" xfId="0" applyNumberFormat="1" applyBorder="1" applyAlignment="1">
      <alignment horizontal="center"/>
    </xf>
    <xf numFmtId="0" fontId="0" fillId="0" borderId="2" xfId="0" applyBorder="1" applyAlignment="1">
      <alignment horizontal="right"/>
    </xf>
    <xf numFmtId="0" fontId="0" fillId="0" borderId="2" xfId="0" applyBorder="1" applyAlignment="1">
      <alignment horizontal="left" vertical="center"/>
    </xf>
    <xf numFmtId="0" fontId="0" fillId="0" borderId="2" xfId="0" applyBorder="1"/>
    <xf numFmtId="0" fontId="16" fillId="0" borderId="0" xfId="0" applyFont="1" applyFill="1"/>
    <xf numFmtId="0" fontId="6" fillId="10" borderId="0" xfId="0" applyFont="1" applyFill="1" applyAlignment="1">
      <alignment wrapText="1"/>
    </xf>
    <xf numFmtId="167" fontId="15" fillId="0" borderId="0" xfId="0" applyNumberFormat="1" applyFont="1" applyAlignment="1">
      <alignment horizontal="left"/>
    </xf>
    <xf numFmtId="0" fontId="0" fillId="0" borderId="2" xfId="0" applyBorder="1" applyAlignment="1">
      <alignment vertical="center"/>
    </xf>
    <xf numFmtId="0" fontId="0" fillId="0" borderId="2" xfId="0" applyBorder="1" applyAlignment="1">
      <alignment wrapText="1"/>
    </xf>
    <xf numFmtId="0" fontId="15" fillId="0" borderId="0" xfId="0" applyFont="1" applyFill="1"/>
    <xf numFmtId="0" fontId="0" fillId="10" borderId="2" xfId="0" applyFill="1" applyBorder="1"/>
    <xf numFmtId="0" fontId="6" fillId="0" borderId="0" xfId="0" applyFont="1"/>
    <xf numFmtId="164" fontId="24" fillId="13" borderId="0" xfId="1" applyNumberFormat="1" applyFont="1" applyFill="1"/>
    <xf numFmtId="0" fontId="6" fillId="14" borderId="13" xfId="0" applyFont="1" applyFill="1" applyBorder="1" applyAlignment="1">
      <alignment wrapText="1"/>
    </xf>
    <xf numFmtId="0" fontId="6" fillId="14" borderId="14" xfId="0" applyFont="1" applyFill="1" applyBorder="1" applyAlignment="1">
      <alignment wrapText="1"/>
    </xf>
    <xf numFmtId="0" fontId="6" fillId="14" borderId="15" xfId="0" applyFont="1" applyFill="1" applyBorder="1" applyAlignment="1">
      <alignment wrapText="1"/>
    </xf>
    <xf numFmtId="0" fontId="6" fillId="14" borderId="16" xfId="0" applyFont="1" applyFill="1" applyBorder="1" applyAlignment="1">
      <alignment wrapText="1"/>
    </xf>
    <xf numFmtId="0" fontId="0" fillId="0" borderId="17" xfId="0" applyBorder="1"/>
    <xf numFmtId="169" fontId="24" fillId="0" borderId="0" xfId="5" applyNumberFormat="1" applyFont="1" applyBorder="1"/>
    <xf numFmtId="164" fontId="0" fillId="0" borderId="0" xfId="0" applyNumberFormat="1" applyBorder="1"/>
    <xf numFmtId="164" fontId="0" fillId="15" borderId="0" xfId="0" applyNumberFormat="1" applyFill="1" applyBorder="1"/>
    <xf numFmtId="164" fontId="0" fillId="0" borderId="18" xfId="0" applyNumberFormat="1" applyBorder="1"/>
    <xf numFmtId="164" fontId="0" fillId="2" borderId="0" xfId="0" applyNumberFormat="1" applyFill="1" applyBorder="1"/>
    <xf numFmtId="164" fontId="0" fillId="0" borderId="0" xfId="0" applyNumberFormat="1" applyFill="1" applyBorder="1"/>
    <xf numFmtId="0" fontId="0" fillId="0" borderId="18" xfId="0" applyBorder="1"/>
    <xf numFmtId="0" fontId="6" fillId="0" borderId="19" xfId="0" applyFont="1" applyBorder="1"/>
    <xf numFmtId="169" fontId="6" fillId="0" borderId="20" xfId="0" applyNumberFormat="1" applyFont="1" applyBorder="1"/>
    <xf numFmtId="164" fontId="6" fillId="0" borderId="20" xfId="0" applyNumberFormat="1" applyFont="1" applyBorder="1"/>
    <xf numFmtId="164" fontId="6" fillId="0" borderId="21" xfId="0" applyNumberFormat="1" applyFont="1" applyBorder="1"/>
    <xf numFmtId="0" fontId="6" fillId="0" borderId="22" xfId="0" applyFont="1" applyFill="1" applyBorder="1" applyAlignment="1">
      <alignment wrapText="1"/>
    </xf>
    <xf numFmtId="0" fontId="6" fillId="0" borderId="0" xfId="0" applyFont="1" applyFill="1" applyBorder="1" applyAlignment="1">
      <alignment wrapText="1"/>
    </xf>
    <xf numFmtId="5" fontId="0" fillId="0" borderId="2" xfId="0" applyNumberFormat="1" applyBorder="1"/>
    <xf numFmtId="0" fontId="7" fillId="3" borderId="1" xfId="3" applyFont="1" applyFill="1" applyBorder="1" applyAlignment="1">
      <alignment horizontal="center" wrapText="1"/>
    </xf>
    <xf numFmtId="0" fontId="7" fillId="3" borderId="23" xfId="3" applyFont="1" applyFill="1" applyBorder="1" applyAlignment="1">
      <alignment horizontal="center" wrapText="1"/>
    </xf>
    <xf numFmtId="5" fontId="0" fillId="8" borderId="23" xfId="0" applyNumberFormat="1" applyFill="1" applyBorder="1" applyAlignment="1">
      <alignment horizontal="center" vertical="center"/>
    </xf>
    <xf numFmtId="5" fontId="0" fillId="6" borderId="23" xfId="0" applyNumberFormat="1" applyFill="1" applyBorder="1" applyAlignment="1">
      <alignment horizontal="center" vertical="center"/>
    </xf>
    <xf numFmtId="5" fontId="0" fillId="5" borderId="23" xfId="0" applyNumberFormat="1" applyFill="1" applyBorder="1" applyAlignment="1">
      <alignment horizontal="center" vertical="center"/>
    </xf>
    <xf numFmtId="5" fontId="6" fillId="0" borderId="23" xfId="0" applyNumberFormat="1" applyFont="1" applyBorder="1" applyAlignment="1">
      <alignment horizontal="center" vertical="center"/>
    </xf>
    <xf numFmtId="0" fontId="1" fillId="0" borderId="2" xfId="3" applyFont="1" applyFill="1" applyBorder="1" applyAlignment="1">
      <alignment vertical="center" wrapText="1"/>
    </xf>
    <xf numFmtId="168" fontId="0" fillId="0" borderId="2" xfId="0" applyNumberFormat="1" applyBorder="1" applyAlignment="1">
      <alignment horizontal="center" vertical="center"/>
    </xf>
    <xf numFmtId="168" fontId="0" fillId="0" borderId="1" xfId="0" applyNumberFormat="1" applyBorder="1" applyAlignment="1">
      <alignment horizontal="center" vertical="center"/>
    </xf>
    <xf numFmtId="0" fontId="0" fillId="0" borderId="23" xfId="0" applyBorder="1"/>
    <xf numFmtId="168" fontId="0" fillId="0" borderId="2" xfId="0" applyNumberFormat="1" applyBorder="1"/>
    <xf numFmtId="164" fontId="5" fillId="0" borderId="0" xfId="1" applyNumberFormat="1" applyFont="1"/>
    <xf numFmtId="0" fontId="8" fillId="16" borderId="0" xfId="0" applyFont="1" applyFill="1"/>
    <xf numFmtId="0" fontId="8" fillId="16" borderId="0" xfId="0" applyFont="1" applyFill="1" applyAlignment="1">
      <alignment wrapText="1"/>
    </xf>
    <xf numFmtId="0" fontId="22" fillId="16" borderId="0" xfId="0" applyFont="1" applyFill="1"/>
    <xf numFmtId="0" fontId="11" fillId="16" borderId="0" xfId="0" applyFont="1" applyFill="1"/>
    <xf numFmtId="0" fontId="9" fillId="16" borderId="0" xfId="0" applyFont="1" applyFill="1"/>
    <xf numFmtId="0" fontId="8" fillId="3" borderId="0" xfId="0" applyFont="1" applyFill="1"/>
    <xf numFmtId="0" fontId="8" fillId="5" borderId="0" xfId="0" applyFont="1" applyFill="1"/>
    <xf numFmtId="0" fontId="9" fillId="5" borderId="0" xfId="0" applyFont="1" applyFill="1"/>
    <xf numFmtId="0" fontId="8" fillId="6" borderId="0" xfId="0" applyFont="1" applyFill="1"/>
    <xf numFmtId="0" fontId="11" fillId="6" borderId="0" xfId="0" applyFont="1" applyFill="1"/>
    <xf numFmtId="0" fontId="9" fillId="6" borderId="0" xfId="0" applyFont="1" applyFill="1"/>
    <xf numFmtId="0" fontId="18" fillId="6" borderId="0" xfId="0" applyFont="1" applyFill="1"/>
    <xf numFmtId="0" fontId="5" fillId="5" borderId="2" xfId="0" applyFont="1" applyFill="1" applyBorder="1" applyAlignment="1">
      <alignment horizontal="right"/>
    </xf>
    <xf numFmtId="5" fontId="0" fillId="5" borderId="2" xfId="0" applyNumberFormat="1" applyFill="1" applyBorder="1"/>
    <xf numFmtId="0" fontId="5" fillId="6" borderId="2" xfId="0" applyFont="1" applyFill="1" applyBorder="1" applyAlignment="1">
      <alignment horizontal="right"/>
    </xf>
    <xf numFmtId="5" fontId="0" fillId="6" borderId="2" xfId="0" applyNumberFormat="1" applyFill="1" applyBorder="1"/>
    <xf numFmtId="0" fontId="6" fillId="0" borderId="2" xfId="0" applyFont="1" applyBorder="1" applyAlignment="1">
      <alignment horizontal="right"/>
    </xf>
    <xf numFmtId="0" fontId="6" fillId="3" borderId="2" xfId="0" applyFont="1" applyFill="1" applyBorder="1" applyAlignment="1">
      <alignment horizontal="right"/>
    </xf>
    <xf numFmtId="5" fontId="6" fillId="0" borderId="2" xfId="0" applyNumberFormat="1" applyFont="1" applyBorder="1"/>
    <xf numFmtId="0" fontId="0" fillId="5" borderId="2" xfId="0" applyFill="1" applyBorder="1" applyAlignment="1">
      <alignment horizontal="left" vertical="center" wrapText="1"/>
    </xf>
    <xf numFmtId="0" fontId="0" fillId="8" borderId="2" xfId="0" applyFill="1" applyBorder="1" applyAlignment="1">
      <alignment horizontal="left" vertical="center" wrapText="1"/>
    </xf>
    <xf numFmtId="0" fontId="0" fillId="6" borderId="2" xfId="0" applyFill="1" applyBorder="1" applyAlignment="1">
      <alignment horizontal="left" vertical="center" wrapText="1"/>
    </xf>
    <xf numFmtId="0" fontId="5" fillId="8" borderId="2" xfId="0" applyFont="1" applyFill="1" applyBorder="1" applyAlignment="1">
      <alignment horizontal="right"/>
    </xf>
    <xf numFmtId="5" fontId="0" fillId="8" borderId="2" xfId="0" applyNumberFormat="1" applyFill="1" applyBorder="1"/>
    <xf numFmtId="0" fontId="11" fillId="8" borderId="3" xfId="3" applyFont="1" applyFill="1" applyBorder="1" applyAlignment="1">
      <alignment vertical="center" wrapText="1"/>
    </xf>
    <xf numFmtId="0" fontId="11" fillId="6" borderId="3" xfId="3" applyFont="1" applyFill="1" applyBorder="1" applyAlignment="1">
      <alignment vertical="center" wrapText="1"/>
    </xf>
    <xf numFmtId="0" fontId="11" fillId="5" borderId="3" xfId="3" applyFont="1" applyFill="1" applyBorder="1" applyAlignment="1">
      <alignment vertical="center" wrapText="1"/>
    </xf>
    <xf numFmtId="5" fontId="0" fillId="17" borderId="2" xfId="0" applyNumberFormat="1" applyFill="1" applyBorder="1" applyAlignment="1">
      <alignment horizontal="center" vertical="center"/>
    </xf>
    <xf numFmtId="5" fontId="6" fillId="0" borderId="0" xfId="0" applyNumberFormat="1" applyFont="1" applyBorder="1" applyAlignment="1">
      <alignment horizontal="center" vertical="center"/>
    </xf>
    <xf numFmtId="0" fontId="26" fillId="0" borderId="2" xfId="0" applyFont="1" applyBorder="1" applyAlignment="1">
      <alignment horizontal="left" wrapText="1"/>
    </xf>
    <xf numFmtId="0" fontId="26" fillId="0" borderId="2" xfId="0" applyFont="1" applyBorder="1" applyAlignment="1">
      <alignment horizontal="center" wrapText="1"/>
    </xf>
    <xf numFmtId="0" fontId="0" fillId="0" borderId="17" xfId="0" applyFill="1" applyBorder="1"/>
    <xf numFmtId="0" fontId="7" fillId="3" borderId="3" xfId="3" applyFont="1" applyFill="1" applyBorder="1" applyAlignment="1">
      <alignment horizontal="center" wrapText="1"/>
    </xf>
    <xf numFmtId="5" fontId="0" fillId="8" borderId="3" xfId="0" applyNumberFormat="1" applyFill="1" applyBorder="1" applyAlignment="1">
      <alignment horizontal="center" vertical="center"/>
    </xf>
    <xf numFmtId="5" fontId="0" fillId="6" borderId="3" xfId="0" applyNumberFormat="1" applyFill="1" applyBorder="1" applyAlignment="1">
      <alignment horizontal="center" vertical="center"/>
    </xf>
    <xf numFmtId="5" fontId="0" fillId="5" borderId="3" xfId="0" applyNumberFormat="1" applyFill="1" applyBorder="1" applyAlignment="1">
      <alignment horizontal="center" vertical="center"/>
    </xf>
    <xf numFmtId="5" fontId="6" fillId="0" borderId="3" xfId="0" applyNumberFormat="1" applyFont="1" applyBorder="1" applyAlignment="1">
      <alignment horizontal="center" vertical="center"/>
    </xf>
    <xf numFmtId="0" fontId="7" fillId="3" borderId="24" xfId="3" applyFont="1" applyFill="1" applyBorder="1" applyAlignment="1">
      <alignment horizontal="center" wrapText="1"/>
    </xf>
    <xf numFmtId="5" fontId="0" fillId="8" borderId="24" xfId="0" applyNumberFormat="1" applyFill="1" applyBorder="1" applyAlignment="1">
      <alignment horizontal="center" vertical="center"/>
    </xf>
    <xf numFmtId="5" fontId="0" fillId="6" borderId="24" xfId="0" applyNumberFormat="1" applyFill="1" applyBorder="1" applyAlignment="1">
      <alignment horizontal="center" vertical="center"/>
    </xf>
    <xf numFmtId="5" fontId="0" fillId="5" borderId="24" xfId="0" applyNumberFormat="1" applyFill="1" applyBorder="1" applyAlignment="1">
      <alignment horizontal="center" vertical="center"/>
    </xf>
    <xf numFmtId="5" fontId="6" fillId="0" borderId="24" xfId="0" applyNumberFormat="1" applyFont="1" applyBorder="1" applyAlignment="1">
      <alignment horizontal="center" vertical="center"/>
    </xf>
    <xf numFmtId="0" fontId="27" fillId="16" borderId="0" xfId="0" applyFont="1" applyFill="1" applyAlignment="1">
      <alignment wrapText="1"/>
    </xf>
    <xf numFmtId="164" fontId="23" fillId="16" borderId="0" xfId="1" applyNumberFormat="1" applyFont="1" applyFill="1" applyAlignment="1">
      <alignment wrapText="1"/>
    </xf>
    <xf numFmtId="0" fontId="18" fillId="16" borderId="0" xfId="0" applyFont="1" applyFill="1" applyAlignment="1">
      <alignment wrapText="1"/>
    </xf>
    <xf numFmtId="0" fontId="27" fillId="0" borderId="0" xfId="0" applyFont="1" applyAlignment="1">
      <alignment wrapText="1"/>
    </xf>
    <xf numFmtId="5" fontId="27" fillId="16" borderId="0" xfId="1" applyNumberFormat="1" applyFont="1" applyFill="1" applyAlignment="1">
      <alignment horizontal="center" vertical="center"/>
    </xf>
    <xf numFmtId="164" fontId="27" fillId="16" borderId="0" xfId="1" applyNumberFormat="1" applyFont="1" applyFill="1" applyAlignment="1">
      <alignment wrapText="1"/>
    </xf>
    <xf numFmtId="164" fontId="18" fillId="16" borderId="0" xfId="1" applyNumberFormat="1" applyFont="1" applyFill="1" applyAlignment="1"/>
    <xf numFmtId="5" fontId="23" fillId="16" borderId="0" xfId="1" applyNumberFormat="1" applyFont="1" applyFill="1" applyAlignment="1">
      <alignment horizontal="center" vertical="center"/>
    </xf>
    <xf numFmtId="0" fontId="23" fillId="16" borderId="0" xfId="0" applyFont="1" applyFill="1" applyAlignment="1">
      <alignment wrapText="1"/>
    </xf>
    <xf numFmtId="5" fontId="29" fillId="16" borderId="0" xfId="1" applyNumberFormat="1" applyFont="1" applyFill="1" applyAlignment="1">
      <alignment horizontal="center" vertical="center"/>
    </xf>
    <xf numFmtId="0" fontId="18" fillId="16" borderId="0" xfId="0" applyFont="1" applyFill="1"/>
    <xf numFmtId="0" fontId="27" fillId="16" borderId="0" xfId="0" applyFont="1" applyFill="1"/>
    <xf numFmtId="0" fontId="27" fillId="0" borderId="0" xfId="0" applyFont="1"/>
    <xf numFmtId="0" fontId="18" fillId="0" borderId="0" xfId="0" applyFont="1"/>
    <xf numFmtId="5" fontId="27" fillId="0" borderId="0" xfId="1" applyNumberFormat="1" applyFont="1" applyAlignment="1">
      <alignment horizontal="center" vertical="center"/>
    </xf>
    <xf numFmtId="5" fontId="27" fillId="6" borderId="0" xfId="1" applyNumberFormat="1" applyFont="1" applyFill="1" applyAlignment="1">
      <alignment horizontal="center" vertical="center"/>
    </xf>
    <xf numFmtId="0" fontId="27" fillId="6" borderId="0" xfId="0" applyFont="1" applyFill="1"/>
    <xf numFmtId="0" fontId="18" fillId="6" borderId="0" xfId="0" applyFont="1" applyFill="1" applyAlignment="1"/>
    <xf numFmtId="5" fontId="29" fillId="6" borderId="0" xfId="1" applyNumberFormat="1" applyFont="1" applyFill="1" applyAlignment="1">
      <alignment horizontal="center" vertical="center"/>
    </xf>
    <xf numFmtId="5" fontId="27" fillId="6" borderId="0" xfId="0" applyNumberFormat="1" applyFont="1" applyFill="1" applyAlignment="1">
      <alignment horizontal="center"/>
    </xf>
    <xf numFmtId="0" fontId="30" fillId="6" borderId="0" xfId="0" applyFont="1" applyFill="1"/>
    <xf numFmtId="5" fontId="27" fillId="5" borderId="0" xfId="1" applyNumberFormat="1" applyFont="1" applyFill="1" applyAlignment="1">
      <alignment horizontal="center" vertical="center"/>
    </xf>
    <xf numFmtId="0" fontId="27" fillId="5" borderId="0" xfId="0" applyFont="1" applyFill="1"/>
    <xf numFmtId="0" fontId="18" fillId="5" borderId="0" xfId="0" applyFont="1" applyFill="1"/>
    <xf numFmtId="0" fontId="28" fillId="5" borderId="0" xfId="0" applyFont="1" applyFill="1"/>
    <xf numFmtId="5" fontId="29" fillId="5" borderId="0" xfId="1" applyNumberFormat="1" applyFont="1" applyFill="1" applyAlignment="1">
      <alignment horizontal="center" vertical="center"/>
    </xf>
    <xf numFmtId="5" fontId="29" fillId="3" borderId="0" xfId="0" applyNumberFormat="1" applyFont="1" applyFill="1" applyAlignment="1">
      <alignment horizontal="center"/>
    </xf>
    <xf numFmtId="0" fontId="27" fillId="3" borderId="0" xfId="0" applyFont="1" applyFill="1"/>
    <xf numFmtId="0" fontId="18" fillId="3" borderId="0" xfId="0" applyFont="1" applyFill="1"/>
    <xf numFmtId="0" fontId="31" fillId="16" borderId="0" xfId="0" applyFont="1" applyFill="1" applyAlignment="1">
      <alignment wrapText="1"/>
    </xf>
    <xf numFmtId="0" fontId="31" fillId="0" borderId="0" xfId="0" applyFont="1"/>
    <xf numFmtId="0" fontId="31" fillId="6" borderId="0" xfId="0" applyFont="1" applyFill="1"/>
    <xf numFmtId="0" fontId="31" fillId="5" borderId="0" xfId="0" applyFont="1" applyFill="1"/>
    <xf numFmtId="0" fontId="31" fillId="5" borderId="0" xfId="0" quotePrefix="1" applyFont="1" applyFill="1"/>
    <xf numFmtId="0" fontId="31" fillId="3" borderId="0" xfId="0" applyFont="1" applyFill="1"/>
    <xf numFmtId="169" fontId="0" fillId="0" borderId="0" xfId="0" applyNumberFormat="1"/>
    <xf numFmtId="0" fontId="22" fillId="6" borderId="0" xfId="0" applyFont="1" applyFill="1"/>
    <xf numFmtId="5" fontId="23" fillId="6" borderId="0" xfId="1" applyNumberFormat="1" applyFont="1" applyFill="1" applyAlignment="1">
      <alignment horizontal="center" vertical="center"/>
    </xf>
    <xf numFmtId="9" fontId="27" fillId="16" borderId="0" xfId="8" applyFont="1" applyFill="1" applyAlignment="1">
      <alignment wrapText="1"/>
    </xf>
    <xf numFmtId="9" fontId="0" fillId="0" borderId="0" xfId="8" applyFont="1"/>
    <xf numFmtId="0" fontId="7" fillId="3" borderId="27" xfId="3" applyFont="1" applyFill="1" applyBorder="1" applyAlignment="1">
      <alignment horizontal="center" wrapText="1"/>
    </xf>
    <xf numFmtId="5" fontId="0" fillId="8" borderId="27" xfId="0" applyNumberFormat="1" applyFill="1" applyBorder="1" applyAlignment="1">
      <alignment horizontal="center" vertical="center"/>
    </xf>
    <xf numFmtId="5" fontId="0" fillId="8" borderId="1" xfId="0" applyNumberFormat="1" applyFill="1" applyBorder="1" applyAlignment="1">
      <alignment horizontal="center" vertical="center"/>
    </xf>
    <xf numFmtId="5" fontId="0" fillId="6" borderId="27" xfId="0" applyNumberFormat="1" applyFill="1" applyBorder="1" applyAlignment="1">
      <alignment horizontal="center" vertical="center"/>
    </xf>
    <xf numFmtId="5" fontId="0" fillId="6" borderId="1" xfId="0" applyNumberFormat="1" applyFill="1" applyBorder="1" applyAlignment="1">
      <alignment horizontal="center" vertical="center"/>
    </xf>
    <xf numFmtId="5" fontId="0" fillId="5" borderId="27" xfId="0" applyNumberFormat="1" applyFill="1" applyBorder="1" applyAlignment="1">
      <alignment horizontal="center" vertical="center"/>
    </xf>
    <xf numFmtId="5" fontId="0" fillId="5" borderId="1" xfId="0" applyNumberFormat="1" applyFill="1" applyBorder="1" applyAlignment="1">
      <alignment horizontal="center" vertical="center"/>
    </xf>
    <xf numFmtId="5" fontId="6" fillId="0" borderId="27" xfId="0" applyNumberFormat="1" applyFont="1" applyBorder="1" applyAlignment="1">
      <alignment horizontal="center" vertical="center"/>
    </xf>
    <xf numFmtId="5" fontId="6" fillId="0" borderId="1" xfId="0" applyNumberFormat="1" applyFont="1" applyBorder="1" applyAlignment="1">
      <alignment horizontal="center" vertical="center"/>
    </xf>
    <xf numFmtId="9" fontId="29" fillId="0" borderId="0" xfId="8" applyFont="1" applyAlignment="1">
      <alignment horizontal="center"/>
    </xf>
    <xf numFmtId="168" fontId="27" fillId="18" borderId="26" xfId="7" applyNumberFormat="1" applyFont="1" applyFill="1" applyBorder="1" applyAlignment="1">
      <alignment horizontal="center"/>
    </xf>
    <xf numFmtId="168" fontId="27" fillId="18" borderId="25" xfId="7" applyNumberFormat="1" applyFont="1" applyFill="1" applyBorder="1" applyAlignment="1">
      <alignment horizontal="center"/>
    </xf>
    <xf numFmtId="0" fontId="9" fillId="7" borderId="0" xfId="0" applyFont="1" applyFill="1"/>
    <xf numFmtId="5" fontId="23" fillId="6" borderId="0" xfId="0" applyNumberFormat="1" applyFont="1" applyFill="1" applyAlignment="1">
      <alignment horizontal="center"/>
    </xf>
    <xf numFmtId="5" fontId="27" fillId="7" borderId="0" xfId="1" applyNumberFormat="1" applyFont="1" applyFill="1" applyAlignment="1">
      <alignment horizontal="center" vertical="center"/>
    </xf>
    <xf numFmtId="0" fontId="27" fillId="7" borderId="0" xfId="0" quotePrefix="1" applyFont="1" applyFill="1"/>
    <xf numFmtId="164" fontId="27" fillId="7" borderId="0" xfId="1" applyNumberFormat="1" applyFont="1" applyFill="1" applyAlignment="1">
      <alignment wrapText="1"/>
    </xf>
    <xf numFmtId="0" fontId="32" fillId="0" borderId="0" xfId="0" applyFont="1"/>
    <xf numFmtId="9" fontId="0" fillId="8" borderId="2" xfId="8" applyFont="1" applyFill="1" applyBorder="1" applyAlignment="1">
      <alignment horizontal="center" vertical="center" wrapText="1"/>
    </xf>
    <xf numFmtId="9" fontId="0" fillId="6" borderId="2" xfId="8" applyFont="1" applyFill="1" applyBorder="1" applyAlignment="1">
      <alignment horizontal="center" vertical="center" wrapText="1"/>
    </xf>
    <xf numFmtId="9" fontId="0" fillId="5" borderId="2" xfId="8" applyFont="1" applyFill="1" applyBorder="1" applyAlignment="1">
      <alignment horizontal="center" vertical="center" wrapText="1"/>
    </xf>
    <xf numFmtId="9" fontId="6" fillId="0" borderId="2" xfId="8" applyFont="1" applyBorder="1" applyAlignment="1">
      <alignment horizontal="center" vertical="center" wrapText="1"/>
    </xf>
    <xf numFmtId="164" fontId="23" fillId="7" borderId="0" xfId="1" applyNumberFormat="1" applyFont="1" applyFill="1" applyAlignment="1">
      <alignment wrapText="1"/>
    </xf>
    <xf numFmtId="9" fontId="29" fillId="3" borderId="0" xfId="8" applyFont="1" applyFill="1"/>
    <xf numFmtId="9" fontId="29" fillId="16" borderId="0" xfId="8" applyFont="1" applyFill="1" applyAlignment="1">
      <alignment wrapText="1"/>
    </xf>
    <xf numFmtId="9" fontId="29" fillId="6" borderId="0" xfId="8" applyFont="1" applyFill="1"/>
    <xf numFmtId="9" fontId="29" fillId="5" borderId="0" xfId="8" applyNumberFormat="1" applyFont="1" applyFill="1"/>
    <xf numFmtId="0" fontId="27" fillId="7" borderId="0" xfId="0" applyFont="1" applyFill="1"/>
    <xf numFmtId="0" fontId="27" fillId="7" borderId="0" xfId="0" applyFont="1" applyFill="1" applyAlignment="1">
      <alignment wrapText="1"/>
    </xf>
    <xf numFmtId="5" fontId="27" fillId="7" borderId="0" xfId="0" applyNumberFormat="1" applyFont="1" applyFill="1" applyAlignment="1">
      <alignment horizontal="center"/>
    </xf>
    <xf numFmtId="0" fontId="7" fillId="0" borderId="2" xfId="3" applyFont="1" applyBorder="1" applyAlignment="1">
      <alignment horizontal="center" vertical="center" wrapText="1"/>
    </xf>
    <xf numFmtId="5" fontId="0" fillId="0" borderId="2" xfId="0" applyNumberFormat="1" applyBorder="1" applyAlignment="1">
      <alignment horizontal="center" vertical="center"/>
    </xf>
    <xf numFmtId="0" fontId="7" fillId="3" borderId="0" xfId="3" applyFont="1" applyFill="1" applyBorder="1" applyAlignment="1">
      <alignment horizontal="center" wrapText="1"/>
    </xf>
    <xf numFmtId="0" fontId="7" fillId="3" borderId="2" xfId="3" applyFont="1" applyFill="1" applyBorder="1" applyAlignment="1">
      <alignment horizontal="center" vertical="center" wrapText="1"/>
    </xf>
    <xf numFmtId="0" fontId="12" fillId="4" borderId="30" xfId="3" applyFont="1" applyFill="1" applyBorder="1"/>
    <xf numFmtId="0" fontId="5" fillId="15" borderId="2" xfId="3" applyFill="1" applyBorder="1"/>
    <xf numFmtId="9" fontId="5" fillId="15" borderId="2" xfId="3" applyNumberFormat="1" applyFill="1" applyBorder="1"/>
    <xf numFmtId="5" fontId="27" fillId="3" borderId="0" xfId="0" applyNumberFormat="1" applyFont="1" applyFill="1" applyAlignment="1">
      <alignment horizontal="center"/>
    </xf>
    <xf numFmtId="0" fontId="27" fillId="7" borderId="0" xfId="0" quotePrefix="1" applyFont="1" applyFill="1" applyAlignment="1">
      <alignment wrapText="1"/>
    </xf>
    <xf numFmtId="5" fontId="0" fillId="5" borderId="1" xfId="0" applyNumberFormat="1" applyFill="1" applyBorder="1" applyAlignment="1">
      <alignment horizontal="center" vertical="center"/>
    </xf>
    <xf numFmtId="5" fontId="0" fillId="8" borderId="8" xfId="0" applyNumberFormat="1" applyFill="1" applyBorder="1" applyAlignment="1">
      <alignment horizontal="center" vertical="center"/>
    </xf>
    <xf numFmtId="5" fontId="0" fillId="8" borderId="9" xfId="0" applyNumberFormat="1" applyFill="1" applyBorder="1" applyAlignment="1">
      <alignment horizontal="center" vertical="center"/>
    </xf>
    <xf numFmtId="5" fontId="0" fillId="8" borderId="12" xfId="0" applyNumberFormat="1" applyFill="1" applyBorder="1" applyAlignment="1">
      <alignment horizontal="center" vertical="center"/>
    </xf>
    <xf numFmtId="5" fontId="0" fillId="6" borderId="8" xfId="0" applyNumberFormat="1" applyFill="1" applyBorder="1" applyAlignment="1">
      <alignment horizontal="center" vertical="center"/>
    </xf>
    <xf numFmtId="5" fontId="0" fillId="6" borderId="9" xfId="0" applyNumberFormat="1" applyFill="1" applyBorder="1" applyAlignment="1">
      <alignment horizontal="center" vertical="center"/>
    </xf>
    <xf numFmtId="5" fontId="0" fillId="6" borderId="12" xfId="0" applyNumberFormat="1" applyFill="1" applyBorder="1" applyAlignment="1">
      <alignment horizontal="center" vertical="center"/>
    </xf>
    <xf numFmtId="0" fontId="11" fillId="5" borderId="2" xfId="3" applyFont="1" applyFill="1" applyBorder="1" applyAlignment="1">
      <alignment horizontal="center" vertical="center" wrapText="1"/>
    </xf>
    <xf numFmtId="5" fontId="0" fillId="5" borderId="2" xfId="0" applyNumberFormat="1" applyFill="1" applyBorder="1" applyAlignment="1">
      <alignment horizontal="center" vertical="center"/>
    </xf>
    <xf numFmtId="5" fontId="0" fillId="8" borderId="28" xfId="0" applyNumberFormat="1" applyFill="1" applyBorder="1" applyAlignment="1">
      <alignment horizontal="center" vertical="center"/>
    </xf>
    <xf numFmtId="5" fontId="0" fillId="8" borderId="29" xfId="0" applyNumberFormat="1" applyFill="1" applyBorder="1" applyAlignment="1">
      <alignment horizontal="center" vertical="center"/>
    </xf>
    <xf numFmtId="5" fontId="0" fillId="8" borderId="30" xfId="0" applyNumberFormat="1" applyFill="1" applyBorder="1" applyAlignment="1">
      <alignment horizontal="center" vertical="center"/>
    </xf>
    <xf numFmtId="0" fontId="11" fillId="6" borderId="5" xfId="3" applyFont="1" applyFill="1" applyBorder="1" applyAlignment="1">
      <alignment horizontal="center" vertical="center" wrapText="1"/>
    </xf>
    <xf numFmtId="0" fontId="11" fillId="6" borderId="6" xfId="3" applyFont="1" applyFill="1" applyBorder="1" applyAlignment="1">
      <alignment horizontal="center" vertical="center" wrapText="1"/>
    </xf>
    <xf numFmtId="0" fontId="11" fillId="6" borderId="10" xfId="3" applyFont="1" applyFill="1" applyBorder="1" applyAlignment="1">
      <alignment horizontal="center" vertical="center" wrapText="1"/>
    </xf>
    <xf numFmtId="5" fontId="0" fillId="6" borderId="28" xfId="0" applyNumberFormat="1" applyFill="1" applyBorder="1" applyAlignment="1">
      <alignment horizontal="center" vertical="center"/>
    </xf>
    <xf numFmtId="5" fontId="0" fillId="6" borderId="29" xfId="0" applyNumberFormat="1" applyFill="1" applyBorder="1" applyAlignment="1">
      <alignment horizontal="center" vertical="center"/>
    </xf>
    <xf numFmtId="5" fontId="0" fillId="6" borderId="30" xfId="0" applyNumberFormat="1" applyFill="1" applyBorder="1" applyAlignment="1">
      <alignment horizontal="center" vertical="center"/>
    </xf>
    <xf numFmtId="0" fontId="7" fillId="3" borderId="3" xfId="3"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11" fillId="8" borderId="5" xfId="3" applyFont="1" applyFill="1" applyBorder="1" applyAlignment="1">
      <alignment horizontal="center" vertical="center" wrapText="1"/>
    </xf>
    <xf numFmtId="0" fontId="11" fillId="8" borderId="6" xfId="3" applyFont="1" applyFill="1" applyBorder="1" applyAlignment="1">
      <alignment horizontal="center" vertical="center" wrapText="1"/>
    </xf>
    <xf numFmtId="0" fontId="11" fillId="8" borderId="10" xfId="3" applyFont="1" applyFill="1" applyBorder="1" applyAlignment="1">
      <alignment horizontal="center" vertical="center" wrapText="1"/>
    </xf>
    <xf numFmtId="0" fontId="0" fillId="6" borderId="3" xfId="0" applyFill="1" applyBorder="1" applyAlignment="1">
      <alignment horizontal="center" wrapText="1"/>
    </xf>
    <xf numFmtId="0" fontId="0" fillId="6" borderId="4" xfId="0" applyFill="1" applyBorder="1" applyAlignment="1">
      <alignment horizontal="center" wrapText="1"/>
    </xf>
    <xf numFmtId="0" fontId="0" fillId="6" borderId="1" xfId="0" applyFill="1" applyBorder="1" applyAlignment="1">
      <alignment horizontal="center" wrapText="1"/>
    </xf>
    <xf numFmtId="0" fontId="6" fillId="3" borderId="2" xfId="0" applyFont="1" applyFill="1" applyBorder="1" applyAlignment="1">
      <alignment horizontal="center"/>
    </xf>
    <xf numFmtId="0" fontId="0" fillId="11" borderId="3" xfId="0" applyFill="1" applyBorder="1" applyAlignment="1">
      <alignment horizontal="center"/>
    </xf>
    <xf numFmtId="0" fontId="0" fillId="11" borderId="4" xfId="0" applyFill="1" applyBorder="1" applyAlignment="1">
      <alignment horizontal="center"/>
    </xf>
    <xf numFmtId="0" fontId="0" fillId="11" borderId="1" xfId="0" applyFill="1" applyBorder="1" applyAlignment="1">
      <alignment horizontal="center"/>
    </xf>
  </cellXfs>
  <cellStyles count="9">
    <cellStyle name="Comma" xfId="7" builtinId="3"/>
    <cellStyle name="Comma 2" xfId="6"/>
    <cellStyle name="Currency" xfId="1" builtinId="4"/>
    <cellStyle name="Currency 2" xfId="2"/>
    <cellStyle name="Normal" xfId="0" builtinId="0"/>
    <cellStyle name="Normal 2" xfId="3"/>
    <cellStyle name="Percent" xfId="8" builtinId="5"/>
    <cellStyle name="Percent 2" xfId="4"/>
    <cellStyle name="Percent 3" xf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2013 RTF Budget (not including Council In-Kind Contribution)</a:t>
            </a:r>
          </a:p>
        </c:rich>
      </c:tx>
      <c:layout/>
    </c:title>
    <c:plotArea>
      <c:layout>
        <c:manualLayout>
          <c:layoutTarget val="inner"/>
          <c:xMode val="edge"/>
          <c:yMode val="edge"/>
          <c:x val="0.13762726775935105"/>
          <c:y val="8.3099146931624304E-2"/>
          <c:w val="0.36559129366442183"/>
          <c:h val="0.81368701383404463"/>
        </c:manualLayout>
      </c:layout>
      <c:barChart>
        <c:barDir val="col"/>
        <c:grouping val="stacked"/>
        <c:ser>
          <c:idx val="7"/>
          <c:order val="0"/>
          <c:tx>
            <c:strRef>
              <c:f>'Category (2013)'!$B$13</c:f>
              <c:strCache>
                <c:ptCount val="1"/>
                <c:pt idx="0">
                  <c:v>RTF Member Support &amp; Administration</c:v>
                </c:pt>
              </c:strCache>
            </c:strRef>
          </c:tx>
          <c:cat>
            <c:strRef>
              <c:f>('Category (2013)'!$J$4,'Category (2013)'!$C$4)</c:f>
              <c:strCache>
                <c:ptCount val="2"/>
                <c:pt idx="0">
                  <c:v>Approved 2012</c:v>
                </c:pt>
                <c:pt idx="1">
                  <c:v>Proposed 2013</c:v>
                </c:pt>
              </c:strCache>
            </c:strRef>
          </c:cat>
          <c:val>
            <c:numRef>
              <c:f>('Category (2013)'!$L$13,'Category (2013)'!$E$13)</c:f>
              <c:numCache>
                <c:formatCode>"$"#,##0_);\("$"#,##0\)</c:formatCode>
                <c:ptCount val="2"/>
                <c:pt idx="0">
                  <c:v>174000</c:v>
                </c:pt>
                <c:pt idx="1">
                  <c:v>174000</c:v>
                </c:pt>
              </c:numCache>
            </c:numRef>
          </c:val>
        </c:ser>
        <c:ser>
          <c:idx val="8"/>
          <c:order val="1"/>
          <c:tx>
            <c:strRef>
              <c:f>'Category (2013)'!$B$14</c:f>
              <c:strCache>
                <c:ptCount val="1"/>
                <c:pt idx="0">
                  <c:v>RTF Management</c:v>
                </c:pt>
              </c:strCache>
            </c:strRef>
          </c:tx>
          <c:cat>
            <c:strRef>
              <c:f>('Category (2013)'!$J$4,'Category (2013)'!$C$4)</c:f>
              <c:strCache>
                <c:ptCount val="2"/>
                <c:pt idx="0">
                  <c:v>Approved 2012</c:v>
                </c:pt>
                <c:pt idx="1">
                  <c:v>Proposed 2013</c:v>
                </c:pt>
              </c:strCache>
            </c:strRef>
          </c:cat>
          <c:val>
            <c:numRef>
              <c:f>('Category (2013)'!$L$14,'Category (2013)'!$E$14)</c:f>
              <c:numCache>
                <c:formatCode>"$"#,##0_);\("$"#,##0\)</c:formatCode>
                <c:ptCount val="2"/>
                <c:pt idx="0">
                  <c:v>105000</c:v>
                </c:pt>
                <c:pt idx="1">
                  <c:v>215000</c:v>
                </c:pt>
              </c:numCache>
            </c:numRef>
          </c:val>
        </c:ser>
        <c:ser>
          <c:idx val="3"/>
          <c:order val="2"/>
          <c:tx>
            <c:strRef>
              <c:f>'Category (2013)'!$B$9</c:f>
              <c:strCache>
                <c:ptCount val="1"/>
                <c:pt idx="0">
                  <c:v>Tool Development</c:v>
                </c:pt>
              </c:strCache>
            </c:strRef>
          </c:tx>
          <c:cat>
            <c:strRef>
              <c:f>('Category (2013)'!$J$4,'Category (2013)'!$C$4)</c:f>
              <c:strCache>
                <c:ptCount val="2"/>
                <c:pt idx="0">
                  <c:v>Approved 2012</c:v>
                </c:pt>
                <c:pt idx="1">
                  <c:v>Proposed 2013</c:v>
                </c:pt>
              </c:strCache>
            </c:strRef>
          </c:cat>
          <c:val>
            <c:numRef>
              <c:f>('Category (2013)'!$L$9,'Category (2013)'!$E$9)</c:f>
              <c:numCache>
                <c:formatCode>"$"#,##0_);\("$"#,##0\)</c:formatCode>
                <c:ptCount val="2"/>
                <c:pt idx="0">
                  <c:v>134000</c:v>
                </c:pt>
                <c:pt idx="1">
                  <c:v>95000</c:v>
                </c:pt>
              </c:numCache>
            </c:numRef>
          </c:val>
        </c:ser>
        <c:ser>
          <c:idx val="4"/>
          <c:order val="3"/>
          <c:tx>
            <c:strRef>
              <c:f>'Category (2013)'!$B$10</c:f>
              <c:strCache>
                <c:ptCount val="1"/>
                <c:pt idx="0">
                  <c:v>Research Projects &amp; Data Development</c:v>
                </c:pt>
              </c:strCache>
            </c:strRef>
          </c:tx>
          <c:cat>
            <c:strRef>
              <c:f>('Category (2013)'!$J$4,'Category (2013)'!$C$4)</c:f>
              <c:strCache>
                <c:ptCount val="2"/>
                <c:pt idx="0">
                  <c:v>Approved 2012</c:v>
                </c:pt>
                <c:pt idx="1">
                  <c:v>Proposed 2013</c:v>
                </c:pt>
              </c:strCache>
            </c:strRef>
          </c:cat>
          <c:val>
            <c:numRef>
              <c:f>('Category (2013)'!$L$10,'Category (2013)'!$E$10)</c:f>
              <c:numCache>
                <c:formatCode>"$"#,##0_);\("$"#,##0\)</c:formatCode>
                <c:ptCount val="2"/>
                <c:pt idx="0">
                  <c:v>228000</c:v>
                </c:pt>
                <c:pt idx="1">
                  <c:v>151900</c:v>
                </c:pt>
              </c:numCache>
            </c:numRef>
          </c:val>
        </c:ser>
        <c:ser>
          <c:idx val="5"/>
          <c:order val="4"/>
          <c:tx>
            <c:strRef>
              <c:f>'Category (2013)'!$B$11</c:f>
              <c:strCache>
                <c:ptCount val="1"/>
                <c:pt idx="0">
                  <c:v>Regional Coordination</c:v>
                </c:pt>
              </c:strCache>
            </c:strRef>
          </c:tx>
          <c:cat>
            <c:strRef>
              <c:f>('Category (2013)'!$J$4,'Category (2013)'!$C$4)</c:f>
              <c:strCache>
                <c:ptCount val="2"/>
                <c:pt idx="0">
                  <c:v>Approved 2012</c:v>
                </c:pt>
                <c:pt idx="1">
                  <c:v>Proposed 2013</c:v>
                </c:pt>
              </c:strCache>
            </c:strRef>
          </c:cat>
          <c:val>
            <c:numRef>
              <c:f>('Category (2013)'!$L$11,'Category (2013)'!$E$11)</c:f>
              <c:numCache>
                <c:formatCode>"$"#,##0_);\("$"#,##0\)</c:formatCode>
                <c:ptCount val="2"/>
                <c:pt idx="0">
                  <c:v>58000</c:v>
                </c:pt>
                <c:pt idx="1">
                  <c:v>87000</c:v>
                </c:pt>
              </c:numCache>
            </c:numRef>
          </c:val>
        </c:ser>
        <c:ser>
          <c:idx val="0"/>
          <c:order val="5"/>
          <c:tx>
            <c:strRef>
              <c:f>'Category (2013)'!$B$8</c:f>
              <c:strCache>
                <c:ptCount val="1"/>
                <c:pt idx="0">
                  <c:v>Standardization of Technical Analysis</c:v>
                </c:pt>
              </c:strCache>
            </c:strRef>
          </c:tx>
          <c:cat>
            <c:strRef>
              <c:f>('Category (2013)'!$J$4,'Category (2013)'!$C$4)</c:f>
              <c:strCache>
                <c:ptCount val="2"/>
                <c:pt idx="0">
                  <c:v>Approved 2012</c:v>
                </c:pt>
                <c:pt idx="1">
                  <c:v>Proposed 2013</c:v>
                </c:pt>
              </c:strCache>
            </c:strRef>
          </c:cat>
          <c:val>
            <c:numRef>
              <c:f>('Category (2013)'!$L$8,'Category (2013)'!$E$8)</c:f>
              <c:numCache>
                <c:formatCode>"$"#,##0_);\("$"#,##0\)</c:formatCode>
                <c:ptCount val="2"/>
                <c:pt idx="0">
                  <c:v>176000</c:v>
                </c:pt>
                <c:pt idx="1">
                  <c:v>66500</c:v>
                </c:pt>
              </c:numCache>
            </c:numRef>
          </c:val>
        </c:ser>
        <c:ser>
          <c:idx val="2"/>
          <c:order val="6"/>
          <c:tx>
            <c:strRef>
              <c:f>'Category (2013)'!$B$6</c:f>
              <c:strCache>
                <c:ptCount val="1"/>
                <c:pt idx="0">
                  <c:v>Existing Measure Review &amp; Updates</c:v>
                </c:pt>
              </c:strCache>
            </c:strRef>
          </c:tx>
          <c:cat>
            <c:strRef>
              <c:f>('Category (2013)'!$J$4,'Category (2013)'!$C$4)</c:f>
              <c:strCache>
                <c:ptCount val="2"/>
                <c:pt idx="0">
                  <c:v>Approved 2012</c:v>
                </c:pt>
                <c:pt idx="1">
                  <c:v>Proposed 2013</c:v>
                </c:pt>
              </c:strCache>
            </c:strRef>
          </c:cat>
          <c:val>
            <c:numRef>
              <c:f>('Category (2013)'!$L$6,'Category (2013)'!$E$6)</c:f>
              <c:numCache>
                <c:formatCode>"$"#,##0_);\("$"#,##0\)</c:formatCode>
                <c:ptCount val="2"/>
                <c:pt idx="0">
                  <c:v>487000</c:v>
                </c:pt>
                <c:pt idx="1">
                  <c:v>549600</c:v>
                </c:pt>
              </c:numCache>
            </c:numRef>
          </c:val>
        </c:ser>
        <c:ser>
          <c:idx val="1"/>
          <c:order val="7"/>
          <c:tx>
            <c:strRef>
              <c:f>'Category (2013)'!$B$7</c:f>
              <c:strCache>
                <c:ptCount val="1"/>
                <c:pt idx="0">
                  <c:v>New Measure Development &amp; Review of Unsolicited Proposals</c:v>
                </c:pt>
              </c:strCache>
            </c:strRef>
          </c:tx>
          <c:cat>
            <c:strRef>
              <c:f>('Category (2013)'!$J$4,'Category (2013)'!$C$4)</c:f>
              <c:strCache>
                <c:ptCount val="2"/>
                <c:pt idx="0">
                  <c:v>Approved 2012</c:v>
                </c:pt>
                <c:pt idx="1">
                  <c:v>Proposed 2013</c:v>
                </c:pt>
              </c:strCache>
            </c:strRef>
          </c:cat>
          <c:val>
            <c:numRef>
              <c:f>('Category (2013)'!$L$7,'Category (2013)'!$E$7)</c:f>
              <c:numCache>
                <c:formatCode>"$"#,##0_);\("$"#,##0\)</c:formatCode>
                <c:ptCount val="2"/>
                <c:pt idx="0">
                  <c:v>138000</c:v>
                </c:pt>
                <c:pt idx="1">
                  <c:v>161000</c:v>
                </c:pt>
              </c:numCache>
            </c:numRef>
          </c:val>
        </c:ser>
        <c:gapWidth val="27"/>
        <c:overlap val="100"/>
        <c:axId val="94458240"/>
        <c:axId val="94460928"/>
      </c:barChart>
      <c:catAx>
        <c:axId val="94458240"/>
        <c:scaling>
          <c:orientation val="minMax"/>
        </c:scaling>
        <c:axPos val="b"/>
        <c:numFmt formatCode="General" sourceLinked="1"/>
        <c:tickLblPos val="nextTo"/>
        <c:txPr>
          <a:bodyPr/>
          <a:lstStyle/>
          <a:p>
            <a:pPr>
              <a:defRPr sz="1800" b="1"/>
            </a:pPr>
            <a:endParaRPr lang="en-US"/>
          </a:p>
        </c:txPr>
        <c:crossAx val="94460928"/>
        <c:crosses val="autoZero"/>
        <c:auto val="1"/>
        <c:lblAlgn val="ctr"/>
        <c:lblOffset val="100"/>
      </c:catAx>
      <c:valAx>
        <c:axId val="94460928"/>
        <c:scaling>
          <c:orientation val="minMax"/>
        </c:scaling>
        <c:axPos val="l"/>
        <c:numFmt formatCode="&quot;$&quot;#,##0_);\(&quot;$&quot;#,##0\)" sourceLinked="1"/>
        <c:tickLblPos val="nextTo"/>
        <c:txPr>
          <a:bodyPr/>
          <a:lstStyle/>
          <a:p>
            <a:pPr>
              <a:defRPr sz="1200"/>
            </a:pPr>
            <a:endParaRPr lang="en-US"/>
          </a:p>
        </c:txPr>
        <c:crossAx val="94458240"/>
        <c:crosses val="autoZero"/>
        <c:crossBetween val="between"/>
      </c:valAx>
    </c:plotArea>
    <c:legend>
      <c:legendPos val="r"/>
      <c:layout>
        <c:manualLayout>
          <c:xMode val="edge"/>
          <c:yMode val="edge"/>
          <c:x val="0.51544740891174656"/>
          <c:y val="0.10424939072798553"/>
          <c:w val="0.47611706889802691"/>
          <c:h val="0.84002313394973982"/>
        </c:manualLayout>
      </c:layout>
      <c:txPr>
        <a:bodyPr/>
        <a:lstStyle/>
        <a:p>
          <a:pPr>
            <a:defRPr sz="1800"/>
          </a:pPr>
          <a:endParaRPr lang="en-US"/>
        </a:p>
      </c:txPr>
    </c:legend>
    <c:plotVisOnly val="1"/>
  </c:chart>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2012 compared to 2013 - Contract Allocation</a:t>
            </a:r>
          </a:p>
        </c:rich>
      </c:tx>
      <c:layout/>
      <c:overlay val="1"/>
    </c:title>
    <c:plotArea>
      <c:layout/>
      <c:barChart>
        <c:barDir val="col"/>
        <c:grouping val="stacked"/>
        <c:ser>
          <c:idx val="7"/>
          <c:order val="0"/>
          <c:tx>
            <c:strRef>
              <c:f>'Category (2013)'!$B$13</c:f>
              <c:strCache>
                <c:ptCount val="1"/>
                <c:pt idx="0">
                  <c:v>RTF Member Support &amp; Administration</c:v>
                </c:pt>
              </c:strCache>
            </c:strRef>
          </c:tx>
          <c:cat>
            <c:strRef>
              <c:f>('Category (2013)'!$J$5,'Category (2013)'!$C$5)</c:f>
              <c:strCache>
                <c:ptCount val="2"/>
                <c:pt idx="0">
                  <c:v>Contract RFP 2012</c:v>
                </c:pt>
                <c:pt idx="1">
                  <c:v>Contract RFP
2013</c:v>
                </c:pt>
              </c:strCache>
            </c:strRef>
          </c:cat>
          <c:val>
            <c:numRef>
              <c:f>('Category (2013)'!$J$13,'Category (2013)'!$C$13)</c:f>
              <c:numCache>
                <c:formatCode>"$"#,##0_);\("$"#,##0\)</c:formatCode>
                <c:ptCount val="2"/>
                <c:pt idx="0">
                  <c:v>174000</c:v>
                </c:pt>
                <c:pt idx="1">
                  <c:v>174000</c:v>
                </c:pt>
              </c:numCache>
            </c:numRef>
          </c:val>
        </c:ser>
        <c:ser>
          <c:idx val="8"/>
          <c:order val="1"/>
          <c:tx>
            <c:strRef>
              <c:f>'Category (2013)'!$B$14</c:f>
              <c:strCache>
                <c:ptCount val="1"/>
                <c:pt idx="0">
                  <c:v>RTF Management</c:v>
                </c:pt>
              </c:strCache>
            </c:strRef>
          </c:tx>
          <c:cat>
            <c:strRef>
              <c:f>('Category (2013)'!$J$5,'Category (2013)'!$C$5)</c:f>
              <c:strCache>
                <c:ptCount val="2"/>
                <c:pt idx="0">
                  <c:v>Contract RFP 2012</c:v>
                </c:pt>
                <c:pt idx="1">
                  <c:v>Contract RFP
2013</c:v>
                </c:pt>
              </c:strCache>
            </c:strRef>
          </c:cat>
          <c:val>
            <c:numRef>
              <c:f>('Category (2013)'!$J$14,'Category (2013)'!$C$14)</c:f>
              <c:numCache>
                <c:formatCode>"$"#,##0_);\("$"#,##0\)</c:formatCode>
                <c:ptCount val="2"/>
                <c:pt idx="0">
                  <c:v>5000</c:v>
                </c:pt>
                <c:pt idx="1">
                  <c:v>3000</c:v>
                </c:pt>
              </c:numCache>
            </c:numRef>
          </c:val>
        </c:ser>
        <c:ser>
          <c:idx val="3"/>
          <c:order val="2"/>
          <c:tx>
            <c:strRef>
              <c:f>'Category (2013)'!$B$9</c:f>
              <c:strCache>
                <c:ptCount val="1"/>
                <c:pt idx="0">
                  <c:v>Tool Development</c:v>
                </c:pt>
              </c:strCache>
            </c:strRef>
          </c:tx>
          <c:cat>
            <c:strRef>
              <c:f>('Category (2013)'!$J$5,'Category (2013)'!$C$5)</c:f>
              <c:strCache>
                <c:ptCount val="2"/>
                <c:pt idx="0">
                  <c:v>Contract RFP 2012</c:v>
                </c:pt>
                <c:pt idx="1">
                  <c:v>Contract RFP
2013</c:v>
                </c:pt>
              </c:strCache>
            </c:strRef>
          </c:cat>
          <c:val>
            <c:numRef>
              <c:f>('Category (2013)'!$J$9,'Category (2013)'!$C$9)</c:f>
              <c:numCache>
                <c:formatCode>"$"#,##0_);\("$"#,##0\)</c:formatCode>
                <c:ptCount val="2"/>
                <c:pt idx="0">
                  <c:v>86000</c:v>
                </c:pt>
                <c:pt idx="1">
                  <c:v>57000</c:v>
                </c:pt>
              </c:numCache>
            </c:numRef>
          </c:val>
        </c:ser>
        <c:ser>
          <c:idx val="4"/>
          <c:order val="3"/>
          <c:tx>
            <c:strRef>
              <c:f>'Category (2013)'!$B$10</c:f>
              <c:strCache>
                <c:ptCount val="1"/>
                <c:pt idx="0">
                  <c:v>Research Projects &amp; Data Development</c:v>
                </c:pt>
              </c:strCache>
            </c:strRef>
          </c:tx>
          <c:cat>
            <c:strRef>
              <c:f>('Category (2013)'!$J$5,'Category (2013)'!$C$5)</c:f>
              <c:strCache>
                <c:ptCount val="2"/>
                <c:pt idx="0">
                  <c:v>Contract RFP 2012</c:v>
                </c:pt>
                <c:pt idx="1">
                  <c:v>Contract RFP
2013</c:v>
                </c:pt>
              </c:strCache>
            </c:strRef>
          </c:cat>
          <c:val>
            <c:numRef>
              <c:f>('Category (2013)'!$J$10,'Category (2013)'!$C$10)</c:f>
              <c:numCache>
                <c:formatCode>"$"#,##0_);\("$"#,##0\)</c:formatCode>
                <c:ptCount val="2"/>
                <c:pt idx="0">
                  <c:v>180000</c:v>
                </c:pt>
                <c:pt idx="1">
                  <c:v>127000</c:v>
                </c:pt>
              </c:numCache>
            </c:numRef>
          </c:val>
        </c:ser>
        <c:ser>
          <c:idx val="5"/>
          <c:order val="4"/>
          <c:tx>
            <c:strRef>
              <c:f>'Category (2013)'!$B$11</c:f>
              <c:strCache>
                <c:ptCount val="1"/>
                <c:pt idx="0">
                  <c:v>Regional Coordination</c:v>
                </c:pt>
              </c:strCache>
            </c:strRef>
          </c:tx>
          <c:cat>
            <c:strRef>
              <c:f>('Category (2013)'!$J$5,'Category (2013)'!$C$5)</c:f>
              <c:strCache>
                <c:ptCount val="2"/>
                <c:pt idx="0">
                  <c:v>Contract RFP 2012</c:v>
                </c:pt>
                <c:pt idx="1">
                  <c:v>Contract RFP
2013</c:v>
                </c:pt>
              </c:strCache>
            </c:strRef>
          </c:cat>
          <c:val>
            <c:numRef>
              <c:f>('Category (2013)'!$J$11,'Category (2013)'!$C$11)</c:f>
              <c:numCache>
                <c:formatCode>"$"#,##0_);\("$"#,##0\)</c:formatCode>
                <c:ptCount val="2"/>
                <c:pt idx="0">
                  <c:v>0</c:v>
                </c:pt>
                <c:pt idx="1">
                  <c:v>20000</c:v>
                </c:pt>
              </c:numCache>
            </c:numRef>
          </c:val>
        </c:ser>
        <c:ser>
          <c:idx val="2"/>
          <c:order val="5"/>
          <c:tx>
            <c:strRef>
              <c:f>'Category (2013)'!$B$8</c:f>
              <c:strCache>
                <c:ptCount val="1"/>
                <c:pt idx="0">
                  <c:v>Standardization of Technical Analysis</c:v>
                </c:pt>
              </c:strCache>
            </c:strRef>
          </c:tx>
          <c:cat>
            <c:strRef>
              <c:f>('Category (2013)'!$J$5,'Category (2013)'!$C$5)</c:f>
              <c:strCache>
                <c:ptCount val="2"/>
                <c:pt idx="0">
                  <c:v>Contract RFP 2012</c:v>
                </c:pt>
                <c:pt idx="1">
                  <c:v>Contract RFP
2013</c:v>
                </c:pt>
              </c:strCache>
            </c:strRef>
          </c:cat>
          <c:val>
            <c:numRef>
              <c:f>('Category (2013)'!$J$8,'Category (2013)'!$C$8)</c:f>
              <c:numCache>
                <c:formatCode>"$"#,##0_);\("$"#,##0\)</c:formatCode>
                <c:ptCount val="2"/>
                <c:pt idx="0">
                  <c:v>134000</c:v>
                </c:pt>
                <c:pt idx="1">
                  <c:v>44000</c:v>
                </c:pt>
              </c:numCache>
            </c:numRef>
          </c:val>
        </c:ser>
        <c:ser>
          <c:idx val="0"/>
          <c:order val="6"/>
          <c:tx>
            <c:strRef>
              <c:f>'Category (2013)'!$B$6</c:f>
              <c:strCache>
                <c:ptCount val="1"/>
                <c:pt idx="0">
                  <c:v>Existing Measure Review &amp; Updates</c:v>
                </c:pt>
              </c:strCache>
            </c:strRef>
          </c:tx>
          <c:cat>
            <c:strRef>
              <c:f>('Category (2013)'!$J$5,'Category (2013)'!$C$5)</c:f>
              <c:strCache>
                <c:ptCount val="2"/>
                <c:pt idx="0">
                  <c:v>Contract RFP 2012</c:v>
                </c:pt>
                <c:pt idx="1">
                  <c:v>Contract RFP
2013</c:v>
                </c:pt>
              </c:strCache>
            </c:strRef>
          </c:cat>
          <c:val>
            <c:numRef>
              <c:f>('Category (2013)'!$J$6,'Category (2013)'!$C$6)</c:f>
              <c:numCache>
                <c:formatCode>"$"#,##0_);\("$"#,##0\)</c:formatCode>
                <c:ptCount val="2"/>
                <c:pt idx="0">
                  <c:v>400000</c:v>
                </c:pt>
                <c:pt idx="1">
                  <c:v>120500</c:v>
                </c:pt>
              </c:numCache>
            </c:numRef>
          </c:val>
        </c:ser>
        <c:ser>
          <c:idx val="1"/>
          <c:order val="7"/>
          <c:tx>
            <c:strRef>
              <c:f>'Category (2013)'!$B$7</c:f>
              <c:strCache>
                <c:ptCount val="1"/>
                <c:pt idx="0">
                  <c:v>New Measure Development &amp; Review of Unsolicited Proposals</c:v>
                </c:pt>
              </c:strCache>
            </c:strRef>
          </c:tx>
          <c:cat>
            <c:strRef>
              <c:f>('Category (2013)'!$J$5,'Category (2013)'!$C$5)</c:f>
              <c:strCache>
                <c:ptCount val="2"/>
                <c:pt idx="0">
                  <c:v>Contract RFP 2012</c:v>
                </c:pt>
                <c:pt idx="1">
                  <c:v>Contract RFP
2013</c:v>
                </c:pt>
              </c:strCache>
            </c:strRef>
          </c:cat>
          <c:val>
            <c:numRef>
              <c:f>('Category (2013)'!$J$7,'Category (2013)'!$C$7)</c:f>
              <c:numCache>
                <c:formatCode>"$"#,##0_);\("$"#,##0\)</c:formatCode>
                <c:ptCount val="2"/>
                <c:pt idx="0">
                  <c:v>101000</c:v>
                </c:pt>
                <c:pt idx="1">
                  <c:v>92000</c:v>
                </c:pt>
              </c:numCache>
            </c:numRef>
          </c:val>
        </c:ser>
        <c:overlap val="100"/>
        <c:axId val="56729984"/>
        <c:axId val="56731520"/>
      </c:barChart>
      <c:catAx>
        <c:axId val="56729984"/>
        <c:scaling>
          <c:orientation val="minMax"/>
        </c:scaling>
        <c:axPos val="b"/>
        <c:tickLblPos val="nextTo"/>
        <c:txPr>
          <a:bodyPr/>
          <a:lstStyle/>
          <a:p>
            <a:pPr>
              <a:defRPr sz="1800" b="1"/>
            </a:pPr>
            <a:endParaRPr lang="en-US"/>
          </a:p>
        </c:txPr>
        <c:crossAx val="56731520"/>
        <c:crosses val="autoZero"/>
        <c:auto val="1"/>
        <c:lblAlgn val="ctr"/>
        <c:lblOffset val="100"/>
      </c:catAx>
      <c:valAx>
        <c:axId val="56731520"/>
        <c:scaling>
          <c:orientation val="minMax"/>
        </c:scaling>
        <c:axPos val="l"/>
        <c:numFmt formatCode="&quot;$&quot;#,##0_);\(&quot;$&quot;#,##0\)" sourceLinked="1"/>
        <c:tickLblPos val="nextTo"/>
        <c:txPr>
          <a:bodyPr/>
          <a:lstStyle/>
          <a:p>
            <a:pPr>
              <a:defRPr sz="1200"/>
            </a:pPr>
            <a:endParaRPr lang="en-US"/>
          </a:p>
        </c:txPr>
        <c:crossAx val="56729984"/>
        <c:crosses val="autoZero"/>
        <c:crossBetween val="between"/>
      </c:valAx>
    </c:plotArea>
    <c:legend>
      <c:legendPos val="r"/>
      <c:layout/>
      <c:txPr>
        <a:bodyPr/>
        <a:lstStyle/>
        <a:p>
          <a:pPr>
            <a:defRPr sz="1800"/>
          </a:pPr>
          <a:endParaRPr lang="en-US"/>
        </a:p>
      </c:txPr>
    </c:legend>
    <c:plotVisOnly val="1"/>
  </c:chart>
  <c:printSettings>
    <c:headerFooter/>
    <c:pageMargins b="0.750000000000003" l="0.70000000000000062" r="0.70000000000000062" t="0.75000000000000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2012 compared to 2013</a:t>
            </a:r>
            <a:r>
              <a:rPr lang="en-US" baseline="0"/>
              <a:t> - RTF Contract Staff</a:t>
            </a:r>
            <a:endParaRPr lang="en-US"/>
          </a:p>
        </c:rich>
      </c:tx>
      <c:layout/>
      <c:overlay val="1"/>
    </c:title>
    <c:plotArea>
      <c:layout>
        <c:manualLayout>
          <c:layoutTarget val="inner"/>
          <c:xMode val="edge"/>
          <c:yMode val="edge"/>
          <c:x val="9.3918341102385505E-2"/>
          <c:y val="2.6251247348075119E-2"/>
          <c:w val="0.5842729527713475"/>
          <c:h val="0.84195617720308946"/>
        </c:manualLayout>
      </c:layout>
      <c:barChart>
        <c:barDir val="col"/>
        <c:grouping val="stacked"/>
        <c:ser>
          <c:idx val="7"/>
          <c:order val="0"/>
          <c:tx>
            <c:strRef>
              <c:f>'Category (2013)'!$B$13</c:f>
              <c:strCache>
                <c:ptCount val="1"/>
                <c:pt idx="0">
                  <c:v>RTF Member Support &amp; Administration</c:v>
                </c:pt>
              </c:strCache>
            </c:strRef>
          </c:tx>
          <c:cat>
            <c:strRef>
              <c:f>('Category (2013)'!$K$5,'Category (2013)'!$D$5)</c:f>
              <c:strCache>
                <c:ptCount val="2"/>
                <c:pt idx="0">
                  <c:v>RTF Contract Staff 
2012</c:v>
                </c:pt>
                <c:pt idx="1">
                  <c:v>RTF Contract Staff 
2013</c:v>
                </c:pt>
              </c:strCache>
            </c:strRef>
          </c:cat>
          <c:val>
            <c:numRef>
              <c:f>('Category (2013)'!$K$13,'Category (2013)'!$D$13)</c:f>
              <c:numCache>
                <c:formatCode>"$"#,##0_);\("$"#,##0\)</c:formatCode>
                <c:ptCount val="2"/>
                <c:pt idx="0">
                  <c:v>0</c:v>
                </c:pt>
                <c:pt idx="1">
                  <c:v>0</c:v>
                </c:pt>
              </c:numCache>
            </c:numRef>
          </c:val>
        </c:ser>
        <c:ser>
          <c:idx val="8"/>
          <c:order val="1"/>
          <c:tx>
            <c:strRef>
              <c:f>'Category (2013)'!$B$14</c:f>
              <c:strCache>
                <c:ptCount val="1"/>
                <c:pt idx="0">
                  <c:v>RTF Management</c:v>
                </c:pt>
              </c:strCache>
            </c:strRef>
          </c:tx>
          <c:cat>
            <c:strRef>
              <c:f>('Category (2013)'!$K$5,'Category (2013)'!$D$5)</c:f>
              <c:strCache>
                <c:ptCount val="2"/>
                <c:pt idx="0">
                  <c:v>RTF Contract Staff 
2012</c:v>
                </c:pt>
                <c:pt idx="1">
                  <c:v>RTF Contract Staff 
2013</c:v>
                </c:pt>
              </c:strCache>
            </c:strRef>
          </c:cat>
          <c:val>
            <c:numRef>
              <c:f>('Category (2013)'!$K$14,'Category (2013)'!$D$14)</c:f>
              <c:numCache>
                <c:formatCode>"$"#,##0_);\("$"#,##0\)</c:formatCode>
                <c:ptCount val="2"/>
                <c:pt idx="0">
                  <c:v>100000</c:v>
                </c:pt>
                <c:pt idx="1">
                  <c:v>212000</c:v>
                </c:pt>
              </c:numCache>
            </c:numRef>
          </c:val>
        </c:ser>
        <c:ser>
          <c:idx val="3"/>
          <c:order val="2"/>
          <c:tx>
            <c:strRef>
              <c:f>'Category (2013)'!$B$9</c:f>
              <c:strCache>
                <c:ptCount val="1"/>
                <c:pt idx="0">
                  <c:v>Tool Development</c:v>
                </c:pt>
              </c:strCache>
            </c:strRef>
          </c:tx>
          <c:cat>
            <c:strRef>
              <c:f>('Category (2013)'!$K$5,'Category (2013)'!$D$5)</c:f>
              <c:strCache>
                <c:ptCount val="2"/>
                <c:pt idx="0">
                  <c:v>RTF Contract Staff 
2012</c:v>
                </c:pt>
                <c:pt idx="1">
                  <c:v>RTF Contract Staff 
2013</c:v>
                </c:pt>
              </c:strCache>
            </c:strRef>
          </c:cat>
          <c:val>
            <c:numRef>
              <c:f>('Category (2013)'!$K$9,'Category (2013)'!$D$9)</c:f>
              <c:numCache>
                <c:formatCode>"$"#,##0_);\("$"#,##0\)</c:formatCode>
                <c:ptCount val="2"/>
                <c:pt idx="0">
                  <c:v>48000</c:v>
                </c:pt>
                <c:pt idx="1">
                  <c:v>38000</c:v>
                </c:pt>
              </c:numCache>
            </c:numRef>
          </c:val>
        </c:ser>
        <c:ser>
          <c:idx val="4"/>
          <c:order val="3"/>
          <c:tx>
            <c:strRef>
              <c:f>'Category (2013)'!$B$10</c:f>
              <c:strCache>
                <c:ptCount val="1"/>
                <c:pt idx="0">
                  <c:v>Research Projects &amp; Data Development</c:v>
                </c:pt>
              </c:strCache>
            </c:strRef>
          </c:tx>
          <c:cat>
            <c:strRef>
              <c:f>('Category (2013)'!$K$5,'Category (2013)'!$D$5)</c:f>
              <c:strCache>
                <c:ptCount val="2"/>
                <c:pt idx="0">
                  <c:v>RTF Contract Staff 
2012</c:v>
                </c:pt>
                <c:pt idx="1">
                  <c:v>RTF Contract Staff 
2013</c:v>
                </c:pt>
              </c:strCache>
            </c:strRef>
          </c:cat>
          <c:val>
            <c:numRef>
              <c:f>('Category (2013)'!$K$10,'Category (2013)'!$D$10)</c:f>
              <c:numCache>
                <c:formatCode>"$"#,##0_);\("$"#,##0\)</c:formatCode>
                <c:ptCount val="2"/>
                <c:pt idx="0">
                  <c:v>48000</c:v>
                </c:pt>
                <c:pt idx="1">
                  <c:v>24900</c:v>
                </c:pt>
              </c:numCache>
            </c:numRef>
          </c:val>
        </c:ser>
        <c:ser>
          <c:idx val="5"/>
          <c:order val="4"/>
          <c:tx>
            <c:strRef>
              <c:f>'Category (2013)'!$B$11</c:f>
              <c:strCache>
                <c:ptCount val="1"/>
                <c:pt idx="0">
                  <c:v>Regional Coordination</c:v>
                </c:pt>
              </c:strCache>
            </c:strRef>
          </c:tx>
          <c:cat>
            <c:strRef>
              <c:f>('Category (2013)'!$K$5,'Category (2013)'!$D$5)</c:f>
              <c:strCache>
                <c:ptCount val="2"/>
                <c:pt idx="0">
                  <c:v>RTF Contract Staff 
2012</c:v>
                </c:pt>
                <c:pt idx="1">
                  <c:v>RTF Contract Staff 
2013</c:v>
                </c:pt>
              </c:strCache>
            </c:strRef>
          </c:cat>
          <c:val>
            <c:numRef>
              <c:f>('Category (2013)'!$K$11,'Category (2013)'!$D$11)</c:f>
              <c:numCache>
                <c:formatCode>"$"#,##0_);\("$"#,##0\)</c:formatCode>
                <c:ptCount val="2"/>
                <c:pt idx="0">
                  <c:v>58000</c:v>
                </c:pt>
                <c:pt idx="1">
                  <c:v>67000</c:v>
                </c:pt>
              </c:numCache>
            </c:numRef>
          </c:val>
        </c:ser>
        <c:ser>
          <c:idx val="2"/>
          <c:order val="5"/>
          <c:tx>
            <c:strRef>
              <c:f>'Category (2013)'!$B$8</c:f>
              <c:strCache>
                <c:ptCount val="1"/>
                <c:pt idx="0">
                  <c:v>Standardization of Technical Analysis</c:v>
                </c:pt>
              </c:strCache>
            </c:strRef>
          </c:tx>
          <c:cat>
            <c:strRef>
              <c:f>('Category (2013)'!$K$5,'Category (2013)'!$D$5)</c:f>
              <c:strCache>
                <c:ptCount val="2"/>
                <c:pt idx="0">
                  <c:v>RTF Contract Staff 
2012</c:v>
                </c:pt>
                <c:pt idx="1">
                  <c:v>RTF Contract Staff 
2013</c:v>
                </c:pt>
              </c:strCache>
            </c:strRef>
          </c:cat>
          <c:val>
            <c:numRef>
              <c:f>('Category (2013)'!$K$8,'Category (2013)'!$D$8)</c:f>
              <c:numCache>
                <c:formatCode>"$"#,##0_);\("$"#,##0\)</c:formatCode>
                <c:ptCount val="2"/>
                <c:pt idx="0">
                  <c:v>42000</c:v>
                </c:pt>
                <c:pt idx="1">
                  <c:v>22500</c:v>
                </c:pt>
              </c:numCache>
            </c:numRef>
          </c:val>
        </c:ser>
        <c:ser>
          <c:idx val="0"/>
          <c:order val="6"/>
          <c:tx>
            <c:strRef>
              <c:f>'Category (2013)'!$B$6</c:f>
              <c:strCache>
                <c:ptCount val="1"/>
                <c:pt idx="0">
                  <c:v>Existing Measure Review &amp; Updates</c:v>
                </c:pt>
              </c:strCache>
            </c:strRef>
          </c:tx>
          <c:cat>
            <c:strRef>
              <c:f>('Category (2013)'!$K$5,'Category (2013)'!$D$5)</c:f>
              <c:strCache>
                <c:ptCount val="2"/>
                <c:pt idx="0">
                  <c:v>RTF Contract Staff 
2012</c:v>
                </c:pt>
                <c:pt idx="1">
                  <c:v>RTF Contract Staff 
2013</c:v>
                </c:pt>
              </c:strCache>
            </c:strRef>
          </c:cat>
          <c:val>
            <c:numRef>
              <c:f>('Category (2013)'!$K$6,'Category (2013)'!$D$6)</c:f>
              <c:numCache>
                <c:formatCode>"$"#,##0_);\("$"#,##0\)</c:formatCode>
                <c:ptCount val="2"/>
                <c:pt idx="0">
                  <c:v>87000</c:v>
                </c:pt>
                <c:pt idx="1">
                  <c:v>429100</c:v>
                </c:pt>
              </c:numCache>
            </c:numRef>
          </c:val>
        </c:ser>
        <c:ser>
          <c:idx val="1"/>
          <c:order val="7"/>
          <c:tx>
            <c:strRef>
              <c:f>'Category (2013)'!$B$7</c:f>
              <c:strCache>
                <c:ptCount val="1"/>
                <c:pt idx="0">
                  <c:v>New Measure Development &amp; Review of Unsolicited Proposals</c:v>
                </c:pt>
              </c:strCache>
            </c:strRef>
          </c:tx>
          <c:cat>
            <c:strRef>
              <c:f>('Category (2013)'!$K$5,'Category (2013)'!$D$5)</c:f>
              <c:strCache>
                <c:ptCount val="2"/>
                <c:pt idx="0">
                  <c:v>RTF Contract Staff 
2012</c:v>
                </c:pt>
                <c:pt idx="1">
                  <c:v>RTF Contract Staff 
2013</c:v>
                </c:pt>
              </c:strCache>
            </c:strRef>
          </c:cat>
          <c:val>
            <c:numRef>
              <c:f>('Category (2013)'!$K$7,'Category (2013)'!$D$7)</c:f>
              <c:numCache>
                <c:formatCode>"$"#,##0_);\("$"#,##0\)</c:formatCode>
                <c:ptCount val="2"/>
                <c:pt idx="0">
                  <c:v>37000</c:v>
                </c:pt>
                <c:pt idx="1">
                  <c:v>69000</c:v>
                </c:pt>
              </c:numCache>
            </c:numRef>
          </c:val>
        </c:ser>
        <c:overlap val="100"/>
        <c:axId val="56872960"/>
        <c:axId val="56874496"/>
      </c:barChart>
      <c:catAx>
        <c:axId val="56872960"/>
        <c:scaling>
          <c:orientation val="minMax"/>
        </c:scaling>
        <c:axPos val="b"/>
        <c:tickLblPos val="nextTo"/>
        <c:txPr>
          <a:bodyPr/>
          <a:lstStyle/>
          <a:p>
            <a:pPr>
              <a:defRPr sz="1800" b="1"/>
            </a:pPr>
            <a:endParaRPr lang="en-US"/>
          </a:p>
        </c:txPr>
        <c:crossAx val="56874496"/>
        <c:crosses val="autoZero"/>
        <c:auto val="1"/>
        <c:lblAlgn val="ctr"/>
        <c:lblOffset val="100"/>
      </c:catAx>
      <c:valAx>
        <c:axId val="56874496"/>
        <c:scaling>
          <c:orientation val="minMax"/>
        </c:scaling>
        <c:axPos val="l"/>
        <c:numFmt formatCode="&quot;$&quot;#,##0_);\(&quot;$&quot;#,##0\)" sourceLinked="1"/>
        <c:tickLblPos val="nextTo"/>
        <c:txPr>
          <a:bodyPr/>
          <a:lstStyle/>
          <a:p>
            <a:pPr>
              <a:defRPr sz="1200"/>
            </a:pPr>
            <a:endParaRPr lang="en-US"/>
          </a:p>
        </c:txPr>
        <c:crossAx val="56872960"/>
        <c:crosses val="autoZero"/>
        <c:crossBetween val="between"/>
      </c:valAx>
    </c:plotArea>
    <c:legend>
      <c:legendPos val="r"/>
      <c:layout/>
      <c:txPr>
        <a:bodyPr/>
        <a:lstStyle/>
        <a:p>
          <a:pPr>
            <a:defRPr sz="1800"/>
          </a:pPr>
          <a:endParaRPr lang="en-US"/>
        </a:p>
      </c:txPr>
    </c:legend>
    <c:plotVisOnly val="1"/>
  </c:chart>
  <c:printSettings>
    <c:headerFooter/>
    <c:pageMargins b="0.75000000000000322" l="0.70000000000000062" r="0.70000000000000062" t="0.750000000000003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525717716669617"/>
          <c:y val="3.5724523564989161E-2"/>
          <c:w val="0.59837689052851062"/>
          <c:h val="0.72350245349766051"/>
        </c:manualLayout>
      </c:layout>
      <c:barChart>
        <c:barDir val="col"/>
        <c:grouping val="stacked"/>
        <c:ser>
          <c:idx val="0"/>
          <c:order val="0"/>
          <c:tx>
            <c:strRef>
              <c:f>'Category (2013)'!$O$6</c:f>
              <c:strCache>
                <c:ptCount val="1"/>
                <c:pt idx="0">
                  <c:v>Technical Analysis</c:v>
                </c:pt>
              </c:strCache>
            </c:strRef>
          </c:tx>
          <c:cat>
            <c:strRef>
              <c:f>('Category (2013)'!$P$5:$Q$5,'Category (2013)'!$S$5:$T$5)</c:f>
              <c:strCache>
                <c:ptCount val="4"/>
                <c:pt idx="0">
                  <c:v>Contract RFP 2012</c:v>
                </c:pt>
                <c:pt idx="1">
                  <c:v>RTF Contract Staff 
2012</c:v>
                </c:pt>
                <c:pt idx="2">
                  <c:v>Contract RFP
2013</c:v>
                </c:pt>
                <c:pt idx="3">
                  <c:v>RTF Contract Staff 
2013</c:v>
                </c:pt>
              </c:strCache>
            </c:strRef>
          </c:cat>
          <c:val>
            <c:numRef>
              <c:f>('Category (2013)'!$P$6:$Q$6,'Category (2013)'!$S$6:$T$6)</c:f>
              <c:numCache>
                <c:formatCode>"$"#,##0_);\("$"#,##0\)</c:formatCode>
                <c:ptCount val="4"/>
                <c:pt idx="0">
                  <c:v>635000</c:v>
                </c:pt>
                <c:pt idx="1">
                  <c:v>166000</c:v>
                </c:pt>
                <c:pt idx="2">
                  <c:v>256500</c:v>
                </c:pt>
                <c:pt idx="3">
                  <c:v>520600</c:v>
                </c:pt>
              </c:numCache>
            </c:numRef>
          </c:val>
        </c:ser>
        <c:ser>
          <c:idx val="4"/>
          <c:order val="1"/>
          <c:tx>
            <c:strRef>
              <c:f>'Category (2013)'!$O$9</c:f>
              <c:strCache>
                <c:ptCount val="1"/>
                <c:pt idx="0">
                  <c:v>Tool Development, Research, Regional Coordination </c:v>
                </c:pt>
              </c:strCache>
            </c:strRef>
          </c:tx>
          <c:spPr>
            <a:solidFill>
              <a:schemeClr val="accent1">
                <a:lumMod val="20000"/>
                <a:lumOff val="80000"/>
              </a:schemeClr>
            </a:solidFill>
          </c:spPr>
          <c:cat>
            <c:strRef>
              <c:f>('Category (2013)'!$P$5:$Q$5,'Category (2013)'!$S$5:$T$5)</c:f>
              <c:strCache>
                <c:ptCount val="4"/>
                <c:pt idx="0">
                  <c:v>Contract RFP 2012</c:v>
                </c:pt>
                <c:pt idx="1">
                  <c:v>RTF Contract Staff 
2012</c:v>
                </c:pt>
                <c:pt idx="2">
                  <c:v>Contract RFP
2013</c:v>
                </c:pt>
                <c:pt idx="3">
                  <c:v>RTF Contract Staff 
2013</c:v>
                </c:pt>
              </c:strCache>
            </c:strRef>
          </c:cat>
          <c:val>
            <c:numRef>
              <c:f>('Category (2013)'!$P$9:$Q$9,'Category (2013)'!$S$9:$T$9)</c:f>
              <c:numCache>
                <c:formatCode>"$"#,##0_);\("$"#,##0\)</c:formatCode>
                <c:ptCount val="4"/>
                <c:pt idx="0">
                  <c:v>266000</c:v>
                </c:pt>
                <c:pt idx="1">
                  <c:v>154000</c:v>
                </c:pt>
                <c:pt idx="2">
                  <c:v>204000</c:v>
                </c:pt>
                <c:pt idx="3">
                  <c:v>129900</c:v>
                </c:pt>
              </c:numCache>
            </c:numRef>
          </c:val>
        </c:ser>
        <c:ser>
          <c:idx val="6"/>
          <c:order val="2"/>
          <c:tx>
            <c:strRef>
              <c:f>'Category (2013)'!$O$12</c:f>
              <c:strCache>
                <c:ptCount val="1"/>
                <c:pt idx="0">
                  <c:v>Administration</c:v>
                </c:pt>
              </c:strCache>
            </c:strRef>
          </c:tx>
          <c:spPr>
            <a:solidFill>
              <a:schemeClr val="accent5">
                <a:lumMod val="60000"/>
                <a:lumOff val="40000"/>
              </a:schemeClr>
            </a:solidFill>
          </c:spPr>
          <c:cat>
            <c:strRef>
              <c:f>('Category (2013)'!$P$5:$Q$5,'Category (2013)'!$S$5:$T$5)</c:f>
              <c:strCache>
                <c:ptCount val="4"/>
                <c:pt idx="0">
                  <c:v>Contract RFP 2012</c:v>
                </c:pt>
                <c:pt idx="1">
                  <c:v>RTF Contract Staff 
2012</c:v>
                </c:pt>
                <c:pt idx="2">
                  <c:v>Contract RFP
2013</c:v>
                </c:pt>
                <c:pt idx="3">
                  <c:v>RTF Contract Staff 
2013</c:v>
                </c:pt>
              </c:strCache>
            </c:strRef>
          </c:cat>
          <c:val>
            <c:numRef>
              <c:f>('Category (2013)'!$P$12:$Q$12,'Category (2013)'!$S$12:$T$12)</c:f>
              <c:numCache>
                <c:formatCode>"$"#,##0_);\("$"#,##0\)</c:formatCode>
                <c:ptCount val="4"/>
                <c:pt idx="0">
                  <c:v>179000</c:v>
                </c:pt>
                <c:pt idx="1">
                  <c:v>100000</c:v>
                </c:pt>
                <c:pt idx="2">
                  <c:v>177000</c:v>
                </c:pt>
                <c:pt idx="3">
                  <c:v>212000</c:v>
                </c:pt>
              </c:numCache>
            </c:numRef>
          </c:val>
        </c:ser>
        <c:overlap val="100"/>
        <c:axId val="56883840"/>
        <c:axId val="56897920"/>
      </c:barChart>
      <c:catAx>
        <c:axId val="56883840"/>
        <c:scaling>
          <c:orientation val="minMax"/>
        </c:scaling>
        <c:axPos val="b"/>
        <c:tickLblPos val="nextTo"/>
        <c:crossAx val="56897920"/>
        <c:crosses val="autoZero"/>
        <c:auto val="1"/>
        <c:lblAlgn val="ctr"/>
        <c:lblOffset val="100"/>
      </c:catAx>
      <c:valAx>
        <c:axId val="56897920"/>
        <c:scaling>
          <c:orientation val="minMax"/>
        </c:scaling>
        <c:axPos val="l"/>
        <c:majorGridlines/>
        <c:numFmt formatCode="&quot;$&quot;#,##0_);\(&quot;$&quot;#,##0\)" sourceLinked="1"/>
        <c:tickLblPos val="nextTo"/>
        <c:crossAx val="56883840"/>
        <c:crosses val="autoZero"/>
        <c:crossBetween val="between"/>
      </c:valAx>
    </c:plotArea>
    <c:legend>
      <c:legendPos val="r"/>
      <c:layout>
        <c:manualLayout>
          <c:xMode val="edge"/>
          <c:yMode val="edge"/>
          <c:x val="0.7533206761649337"/>
          <c:y val="0.34779527559055118"/>
          <c:w val="0.23505539367139575"/>
          <c:h val="0.46093118794933235"/>
        </c:manualLayout>
      </c:layout>
    </c:legend>
    <c:plotVisOnly val="1"/>
  </c:chart>
  <c:txPr>
    <a:bodyPr/>
    <a:lstStyle/>
    <a:p>
      <a:pPr>
        <a:defRPr sz="1200"/>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Shift Toward Contract Staff</a:t>
            </a:r>
          </a:p>
        </c:rich>
      </c:tx>
    </c:title>
    <c:plotArea>
      <c:layout/>
      <c:barChart>
        <c:barDir val="col"/>
        <c:grouping val="stacked"/>
        <c:ser>
          <c:idx val="0"/>
          <c:order val="0"/>
          <c:tx>
            <c:strRef>
              <c:f>'Category (2013)'!$W$6</c:f>
              <c:strCache>
                <c:ptCount val="1"/>
                <c:pt idx="0">
                  <c:v>Contract RFP</c:v>
                </c:pt>
              </c:strCache>
            </c:strRef>
          </c:tx>
          <c:cat>
            <c:numRef>
              <c:f>'Category (2013)'!$X$5:$Y$5</c:f>
              <c:numCache>
                <c:formatCode>General</c:formatCode>
                <c:ptCount val="2"/>
                <c:pt idx="0">
                  <c:v>2012</c:v>
                </c:pt>
                <c:pt idx="1">
                  <c:v>2013</c:v>
                </c:pt>
              </c:numCache>
            </c:numRef>
          </c:cat>
          <c:val>
            <c:numRef>
              <c:f>'Category (2013)'!$X$6:$Y$6</c:f>
              <c:numCache>
                <c:formatCode>"$"#,##0_);\("$"#,##0\)</c:formatCode>
                <c:ptCount val="2"/>
                <c:pt idx="0">
                  <c:v>1080000</c:v>
                </c:pt>
                <c:pt idx="1">
                  <c:v>637500</c:v>
                </c:pt>
              </c:numCache>
            </c:numRef>
          </c:val>
        </c:ser>
        <c:ser>
          <c:idx val="1"/>
          <c:order val="1"/>
          <c:tx>
            <c:strRef>
              <c:f>'Category (2013)'!$W$7</c:f>
              <c:strCache>
                <c:ptCount val="1"/>
                <c:pt idx="0">
                  <c:v>Contract Staff</c:v>
                </c:pt>
              </c:strCache>
            </c:strRef>
          </c:tx>
          <c:spPr>
            <a:solidFill>
              <a:schemeClr val="accent1">
                <a:lumMod val="40000"/>
                <a:lumOff val="60000"/>
              </a:schemeClr>
            </a:solidFill>
          </c:spPr>
          <c:cat>
            <c:numRef>
              <c:f>'Category (2013)'!$X$5:$Y$5</c:f>
              <c:numCache>
                <c:formatCode>General</c:formatCode>
                <c:ptCount val="2"/>
                <c:pt idx="0">
                  <c:v>2012</c:v>
                </c:pt>
                <c:pt idx="1">
                  <c:v>2013</c:v>
                </c:pt>
              </c:numCache>
            </c:numRef>
          </c:cat>
          <c:val>
            <c:numRef>
              <c:f>'Category (2013)'!$X$7:$Y$7</c:f>
              <c:numCache>
                <c:formatCode>"$"#,##0_);\("$"#,##0\)</c:formatCode>
                <c:ptCount val="2"/>
                <c:pt idx="0">
                  <c:v>420000</c:v>
                </c:pt>
                <c:pt idx="1">
                  <c:v>862500</c:v>
                </c:pt>
              </c:numCache>
            </c:numRef>
          </c:val>
        </c:ser>
        <c:overlap val="100"/>
        <c:axId val="56931072"/>
        <c:axId val="56932608"/>
      </c:barChart>
      <c:catAx>
        <c:axId val="56931072"/>
        <c:scaling>
          <c:orientation val="minMax"/>
        </c:scaling>
        <c:axPos val="b"/>
        <c:numFmt formatCode="General" sourceLinked="1"/>
        <c:tickLblPos val="nextTo"/>
        <c:crossAx val="56932608"/>
        <c:crosses val="autoZero"/>
        <c:auto val="1"/>
        <c:lblAlgn val="ctr"/>
        <c:lblOffset val="100"/>
      </c:catAx>
      <c:valAx>
        <c:axId val="56932608"/>
        <c:scaling>
          <c:orientation val="minMax"/>
        </c:scaling>
        <c:axPos val="l"/>
        <c:majorGridlines/>
        <c:numFmt formatCode="&quot;$&quot;#,##0_);\(&quot;$&quot;#,##0\)" sourceLinked="1"/>
        <c:tickLblPos val="nextTo"/>
        <c:crossAx val="56931072"/>
        <c:crosses val="autoZero"/>
        <c:crossBetween val="between"/>
      </c:valAx>
    </c:plotArea>
    <c:legend>
      <c:legendPos val="r"/>
    </c:legend>
    <c:plotVisOnly val="1"/>
  </c:chart>
  <c:txPr>
    <a:bodyPr/>
    <a:lstStyle/>
    <a:p>
      <a:pPr>
        <a:defRPr sz="1400"/>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2013-2015 Outlook: Funding </a:t>
            </a:r>
          </a:p>
          <a:p>
            <a:pPr>
              <a:defRPr/>
            </a:pPr>
            <a:r>
              <a:rPr lang="en-US"/>
              <a:t>(Including Council)</a:t>
            </a:r>
          </a:p>
        </c:rich>
      </c:tx>
      <c:layout/>
    </c:title>
    <c:plotArea>
      <c:layout>
        <c:manualLayout>
          <c:layoutTarget val="inner"/>
          <c:xMode val="edge"/>
          <c:yMode val="edge"/>
          <c:x val="0.14567199718591878"/>
          <c:y val="0.27372871660273235"/>
          <c:w val="0.50148839642467369"/>
          <c:h val="0.61921293492159635"/>
        </c:manualLayout>
      </c:layout>
      <c:barChart>
        <c:barDir val="col"/>
        <c:grouping val="stacked"/>
        <c:ser>
          <c:idx val="0"/>
          <c:order val="0"/>
          <c:tx>
            <c:strRef>
              <c:f>'Category (2013-2015)'!$C$18</c:f>
              <c:strCache>
                <c:ptCount val="1"/>
                <c:pt idx="0">
                  <c:v>Contract</c:v>
                </c:pt>
              </c:strCache>
            </c:strRef>
          </c:tx>
          <c:cat>
            <c:strRef>
              <c:f>'Category (2013-2015)'!$B$19:$B$21</c:f>
              <c:strCache>
                <c:ptCount val="3"/>
                <c:pt idx="0">
                  <c:v>Calendar 2013</c:v>
                </c:pt>
                <c:pt idx="1">
                  <c:v>Calendar 2014</c:v>
                </c:pt>
                <c:pt idx="2">
                  <c:v>Calendar 2015</c:v>
                </c:pt>
              </c:strCache>
            </c:strRef>
          </c:cat>
          <c:val>
            <c:numRef>
              <c:f>'Category (2013-2015)'!$C$19:$C$21</c:f>
              <c:numCache>
                <c:formatCode>"$"#,##0_);\("$"#,##0\)</c:formatCode>
                <c:ptCount val="3"/>
                <c:pt idx="0">
                  <c:v>637500</c:v>
                </c:pt>
                <c:pt idx="1">
                  <c:v>623050</c:v>
                </c:pt>
                <c:pt idx="2">
                  <c:v>667300</c:v>
                </c:pt>
              </c:numCache>
            </c:numRef>
          </c:val>
        </c:ser>
        <c:ser>
          <c:idx val="1"/>
          <c:order val="1"/>
          <c:tx>
            <c:strRef>
              <c:f>'Category (2013-2015)'!$D$18</c:f>
              <c:strCache>
                <c:ptCount val="1"/>
                <c:pt idx="0">
                  <c:v>RTF Staff</c:v>
                </c:pt>
              </c:strCache>
            </c:strRef>
          </c:tx>
          <c:cat>
            <c:strRef>
              <c:f>'Category (2013-2015)'!$B$19:$B$21</c:f>
              <c:strCache>
                <c:ptCount val="3"/>
                <c:pt idx="0">
                  <c:v>Calendar 2013</c:v>
                </c:pt>
                <c:pt idx="1">
                  <c:v>Calendar 2014</c:v>
                </c:pt>
                <c:pt idx="2">
                  <c:v>Calendar 2015</c:v>
                </c:pt>
              </c:strCache>
            </c:strRef>
          </c:cat>
          <c:val>
            <c:numRef>
              <c:f>'Category (2013-2015)'!$D$19:$D$21</c:f>
              <c:numCache>
                <c:formatCode>"$"#,##0_);\("$"#,##0\)</c:formatCode>
                <c:ptCount val="3"/>
                <c:pt idx="0">
                  <c:v>862500</c:v>
                </c:pt>
                <c:pt idx="1">
                  <c:v>888885</c:v>
                </c:pt>
                <c:pt idx="2">
                  <c:v>856250</c:v>
                </c:pt>
              </c:numCache>
            </c:numRef>
          </c:val>
        </c:ser>
        <c:ser>
          <c:idx val="2"/>
          <c:order val="2"/>
          <c:tx>
            <c:strRef>
              <c:f>'Category (2013-2015)'!$F$18</c:f>
              <c:strCache>
                <c:ptCount val="1"/>
                <c:pt idx="0">
                  <c:v>Council Staff (In-Kind)</c:v>
                </c:pt>
              </c:strCache>
            </c:strRef>
          </c:tx>
          <c:cat>
            <c:strRef>
              <c:f>'Category (2013-2015)'!$B$19:$B$21</c:f>
              <c:strCache>
                <c:ptCount val="3"/>
                <c:pt idx="0">
                  <c:v>Calendar 2013</c:v>
                </c:pt>
                <c:pt idx="1">
                  <c:v>Calendar 2014</c:v>
                </c:pt>
                <c:pt idx="2">
                  <c:v>Calendar 2015</c:v>
                </c:pt>
              </c:strCache>
            </c:strRef>
          </c:cat>
          <c:val>
            <c:numRef>
              <c:f>'Category (2013-2015)'!$F$19:$F$21</c:f>
              <c:numCache>
                <c:formatCode>"$"#,##0_);\("$"#,##0\)</c:formatCode>
                <c:ptCount val="3"/>
                <c:pt idx="0">
                  <c:v>263950</c:v>
                </c:pt>
                <c:pt idx="1">
                  <c:v>254567.5</c:v>
                </c:pt>
                <c:pt idx="2">
                  <c:v>256385</c:v>
                </c:pt>
              </c:numCache>
            </c:numRef>
          </c:val>
        </c:ser>
        <c:gapWidth val="55"/>
        <c:overlap val="100"/>
        <c:axId val="57145984"/>
        <c:axId val="60543360"/>
      </c:barChart>
      <c:catAx>
        <c:axId val="57145984"/>
        <c:scaling>
          <c:orientation val="minMax"/>
        </c:scaling>
        <c:axPos val="b"/>
        <c:majorTickMark val="none"/>
        <c:tickLblPos val="nextTo"/>
        <c:crossAx val="60543360"/>
        <c:crosses val="autoZero"/>
        <c:auto val="1"/>
        <c:lblAlgn val="ctr"/>
        <c:lblOffset val="100"/>
      </c:catAx>
      <c:valAx>
        <c:axId val="60543360"/>
        <c:scaling>
          <c:orientation val="minMax"/>
        </c:scaling>
        <c:axPos val="l"/>
        <c:majorGridlines/>
        <c:numFmt formatCode="&quot;$&quot;#,##0_);\(&quot;$&quot;#,##0\)" sourceLinked="1"/>
        <c:majorTickMark val="none"/>
        <c:tickLblPos val="nextTo"/>
        <c:crossAx val="57145984"/>
        <c:crosses val="autoZero"/>
        <c:crossBetween val="between"/>
      </c:valAx>
    </c:plotArea>
    <c:legend>
      <c:legendPos val="r"/>
      <c:layout>
        <c:manualLayout>
          <c:xMode val="edge"/>
          <c:yMode val="edge"/>
          <c:x val="0.71588891594736226"/>
          <c:y val="0.45021636718487223"/>
          <c:w val="0.15581784235733476"/>
          <c:h val="0.34530726212414986"/>
        </c:manualLayout>
      </c:layout>
    </c:legend>
    <c:plotVisOnly val="1"/>
  </c:chart>
  <c:printSettings>
    <c:headerFooter/>
    <c:pageMargins b="0.75000000000000544" l="0.70000000000000062" r="0.70000000000000062" t="0.750000000000005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2013-2015 Outlook: Category</a:t>
            </a:r>
          </a:p>
          <a:p>
            <a:pPr>
              <a:defRPr/>
            </a:pPr>
            <a:r>
              <a:rPr lang="en-US"/>
              <a:t>(Not including Council)</a:t>
            </a:r>
          </a:p>
        </c:rich>
      </c:tx>
      <c:layout/>
    </c:title>
    <c:plotArea>
      <c:layout/>
      <c:barChart>
        <c:barDir val="col"/>
        <c:grouping val="stacked"/>
        <c:ser>
          <c:idx val="2"/>
          <c:order val="0"/>
          <c:tx>
            <c:strRef>
              <c:f>'Category (2013-2015)'!$B$35</c:f>
              <c:strCache>
                <c:ptCount val="1"/>
                <c:pt idx="0">
                  <c:v>RTF Management</c:v>
                </c:pt>
              </c:strCache>
            </c:strRef>
          </c:tx>
          <c:cat>
            <c:strRef>
              <c:f>'Category (2013-2015)'!$C$32:$E$32</c:f>
              <c:strCache>
                <c:ptCount val="3"/>
                <c:pt idx="0">
                  <c:v>CY 2013</c:v>
                </c:pt>
                <c:pt idx="1">
                  <c:v>CY 2014</c:v>
                </c:pt>
                <c:pt idx="2">
                  <c:v>CY 2015</c:v>
                </c:pt>
              </c:strCache>
            </c:strRef>
          </c:cat>
          <c:val>
            <c:numRef>
              <c:f>'Category (2013-2015)'!$C$35:$E$35</c:f>
              <c:numCache>
                <c:formatCode>"$"#,##0_);\("$"#,##0\)</c:formatCode>
                <c:ptCount val="3"/>
                <c:pt idx="0">
                  <c:v>389000</c:v>
                </c:pt>
                <c:pt idx="1">
                  <c:v>440700</c:v>
                </c:pt>
                <c:pt idx="2">
                  <c:v>460150</c:v>
                </c:pt>
              </c:numCache>
            </c:numRef>
          </c:val>
        </c:ser>
        <c:ser>
          <c:idx val="1"/>
          <c:order val="1"/>
          <c:tx>
            <c:strRef>
              <c:f>'Category (2013-2015)'!$B$34</c:f>
              <c:strCache>
                <c:ptCount val="1"/>
                <c:pt idx="0">
                  <c:v>Tools, Research, Data &amp; Regional Coordination</c:v>
                </c:pt>
              </c:strCache>
            </c:strRef>
          </c:tx>
          <c:cat>
            <c:strRef>
              <c:f>'Category (2013-2015)'!$C$32:$E$32</c:f>
              <c:strCache>
                <c:ptCount val="3"/>
                <c:pt idx="0">
                  <c:v>CY 2013</c:v>
                </c:pt>
                <c:pt idx="1">
                  <c:v>CY 2014</c:v>
                </c:pt>
                <c:pt idx="2">
                  <c:v>CY 2015</c:v>
                </c:pt>
              </c:strCache>
            </c:strRef>
          </c:cat>
          <c:val>
            <c:numRef>
              <c:f>'Category (2013-2015)'!$C$34:$E$34</c:f>
              <c:numCache>
                <c:formatCode>"$"#,##0_);\("$"#,##0\)</c:formatCode>
                <c:ptCount val="3"/>
                <c:pt idx="0">
                  <c:v>333900</c:v>
                </c:pt>
                <c:pt idx="1">
                  <c:v>327385</c:v>
                </c:pt>
                <c:pt idx="2">
                  <c:v>348970</c:v>
                </c:pt>
              </c:numCache>
            </c:numRef>
          </c:val>
        </c:ser>
        <c:ser>
          <c:idx val="0"/>
          <c:order val="2"/>
          <c:tx>
            <c:strRef>
              <c:f>'Category (2013-2015)'!$B$33</c:f>
              <c:strCache>
                <c:ptCount val="1"/>
                <c:pt idx="0">
                  <c:v>Measure Review &amp; Technical Analysis</c:v>
                </c:pt>
              </c:strCache>
            </c:strRef>
          </c:tx>
          <c:cat>
            <c:strRef>
              <c:f>'Category (2013-2015)'!$C$32:$E$32</c:f>
              <c:strCache>
                <c:ptCount val="3"/>
                <c:pt idx="0">
                  <c:v>CY 2013</c:v>
                </c:pt>
                <c:pt idx="1">
                  <c:v>CY 2014</c:v>
                </c:pt>
                <c:pt idx="2">
                  <c:v>CY 2015</c:v>
                </c:pt>
              </c:strCache>
            </c:strRef>
          </c:cat>
          <c:val>
            <c:numRef>
              <c:f>'Category (2013-2015)'!$C$33:$E$33</c:f>
              <c:numCache>
                <c:formatCode>"$"#,##0_);\("$"#,##0\)</c:formatCode>
                <c:ptCount val="3"/>
                <c:pt idx="0">
                  <c:v>777100</c:v>
                </c:pt>
                <c:pt idx="1">
                  <c:v>743850</c:v>
                </c:pt>
                <c:pt idx="2">
                  <c:v>714430</c:v>
                </c:pt>
              </c:numCache>
            </c:numRef>
          </c:val>
        </c:ser>
        <c:overlap val="100"/>
        <c:axId val="60634624"/>
        <c:axId val="60636160"/>
      </c:barChart>
      <c:catAx>
        <c:axId val="60634624"/>
        <c:scaling>
          <c:orientation val="minMax"/>
        </c:scaling>
        <c:axPos val="b"/>
        <c:tickLblPos val="nextTo"/>
        <c:crossAx val="60636160"/>
        <c:crosses val="autoZero"/>
        <c:auto val="1"/>
        <c:lblAlgn val="ctr"/>
        <c:lblOffset val="100"/>
      </c:catAx>
      <c:valAx>
        <c:axId val="60636160"/>
        <c:scaling>
          <c:orientation val="minMax"/>
        </c:scaling>
        <c:axPos val="l"/>
        <c:majorGridlines/>
        <c:numFmt formatCode="&quot;$&quot;#,##0_);\(&quot;$&quot;#,##0\)" sourceLinked="1"/>
        <c:tickLblPos val="nextTo"/>
        <c:crossAx val="60634624"/>
        <c:crosses val="autoZero"/>
        <c:crossBetween val="between"/>
      </c:valAx>
    </c:plotArea>
    <c:legend>
      <c:legendPos val="r"/>
      <c:layout>
        <c:manualLayout>
          <c:xMode val="edge"/>
          <c:yMode val="edge"/>
          <c:x val="0.66851531058618496"/>
          <c:y val="0.36263201793653344"/>
          <c:w val="0.31481802274716036"/>
          <c:h val="0.43651645585118187"/>
        </c:manualLayout>
      </c:layout>
    </c:legend>
    <c:plotVisOnly val="1"/>
  </c:chart>
  <c:printSettings>
    <c:headerFooter/>
    <c:pageMargins b="0.75000000000000511" l="0.70000000000000062" r="0.70000000000000062" t="0.750000000000005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2013-2015 Outlook: Category</a:t>
            </a:r>
          </a:p>
          <a:p>
            <a:pPr>
              <a:defRPr/>
            </a:pPr>
            <a:r>
              <a:rPr lang="en-US"/>
              <a:t>(Including Council)</a:t>
            </a:r>
          </a:p>
        </c:rich>
      </c:tx>
    </c:title>
    <c:plotArea>
      <c:layout/>
      <c:barChart>
        <c:barDir val="col"/>
        <c:grouping val="stacked"/>
        <c:ser>
          <c:idx val="0"/>
          <c:order val="0"/>
          <c:tx>
            <c:strRef>
              <c:f>'Category (2013-2015)'!$B$42</c:f>
              <c:strCache>
                <c:ptCount val="1"/>
                <c:pt idx="0">
                  <c:v>RTF Management</c:v>
                </c:pt>
              </c:strCache>
            </c:strRef>
          </c:tx>
          <c:spPr>
            <a:solidFill>
              <a:schemeClr val="accent3"/>
            </a:solidFill>
          </c:spPr>
          <c:cat>
            <c:strRef>
              <c:f>'Category (2013-2015)'!$C$39:$E$39</c:f>
              <c:strCache>
                <c:ptCount val="3"/>
                <c:pt idx="0">
                  <c:v>CY 2013</c:v>
                </c:pt>
                <c:pt idx="1">
                  <c:v>CY 2014</c:v>
                </c:pt>
                <c:pt idx="2">
                  <c:v>CY 2015</c:v>
                </c:pt>
              </c:strCache>
            </c:strRef>
          </c:cat>
          <c:val>
            <c:numRef>
              <c:f>'Category (2013-2015)'!$C$42:$E$42</c:f>
              <c:numCache>
                <c:formatCode>"$"#,##0_);\("$"#,##0\)</c:formatCode>
                <c:ptCount val="3"/>
                <c:pt idx="0">
                  <c:v>592000</c:v>
                </c:pt>
                <c:pt idx="1">
                  <c:v>633050</c:v>
                </c:pt>
                <c:pt idx="2">
                  <c:v>652850</c:v>
                </c:pt>
              </c:numCache>
            </c:numRef>
          </c:val>
        </c:ser>
        <c:ser>
          <c:idx val="1"/>
          <c:order val="1"/>
          <c:tx>
            <c:strRef>
              <c:f>'Category (2013-2015)'!$B$41</c:f>
              <c:strCache>
                <c:ptCount val="1"/>
                <c:pt idx="0">
                  <c:v>Tools, Research, Data &amp; Regional Coordination</c:v>
                </c:pt>
              </c:strCache>
            </c:strRef>
          </c:tx>
          <c:cat>
            <c:strRef>
              <c:f>'Category (2013-2015)'!$C$39:$E$39</c:f>
              <c:strCache>
                <c:ptCount val="3"/>
                <c:pt idx="0">
                  <c:v>CY 2013</c:v>
                </c:pt>
                <c:pt idx="1">
                  <c:v>CY 2014</c:v>
                </c:pt>
                <c:pt idx="2">
                  <c:v>CY 2015</c:v>
                </c:pt>
              </c:strCache>
            </c:strRef>
          </c:cat>
          <c:val>
            <c:numRef>
              <c:f>'Category (2013-2015)'!$C$41:$E$41</c:f>
              <c:numCache>
                <c:formatCode>"$"#,##0_);\("$"#,##0\)</c:formatCode>
                <c:ptCount val="3"/>
                <c:pt idx="0">
                  <c:v>365350</c:v>
                </c:pt>
                <c:pt idx="1">
                  <c:v>361102.5</c:v>
                </c:pt>
                <c:pt idx="2">
                  <c:v>386505</c:v>
                </c:pt>
              </c:numCache>
            </c:numRef>
          </c:val>
        </c:ser>
        <c:ser>
          <c:idx val="2"/>
          <c:order val="2"/>
          <c:tx>
            <c:strRef>
              <c:f>'Category (2013-2015)'!$B$40</c:f>
              <c:strCache>
                <c:ptCount val="1"/>
                <c:pt idx="0">
                  <c:v>Measure Review &amp; Technical Analysis</c:v>
                </c:pt>
              </c:strCache>
            </c:strRef>
          </c:tx>
          <c:spPr>
            <a:solidFill>
              <a:schemeClr val="accent1"/>
            </a:solidFill>
          </c:spPr>
          <c:cat>
            <c:strRef>
              <c:f>'Category (2013-2015)'!$C$39:$E$39</c:f>
              <c:strCache>
                <c:ptCount val="3"/>
                <c:pt idx="0">
                  <c:v>CY 2013</c:v>
                </c:pt>
                <c:pt idx="1">
                  <c:v>CY 2014</c:v>
                </c:pt>
                <c:pt idx="2">
                  <c:v>CY 2015</c:v>
                </c:pt>
              </c:strCache>
            </c:strRef>
          </c:cat>
          <c:val>
            <c:numRef>
              <c:f>'Category (2013-2015)'!$C$40:$E$40</c:f>
              <c:numCache>
                <c:formatCode>"$"#,##0_);\("$"#,##0\)</c:formatCode>
                <c:ptCount val="3"/>
                <c:pt idx="0">
                  <c:v>806600</c:v>
                </c:pt>
                <c:pt idx="1">
                  <c:v>772350</c:v>
                </c:pt>
                <c:pt idx="2">
                  <c:v>740580</c:v>
                </c:pt>
              </c:numCache>
            </c:numRef>
          </c:val>
        </c:ser>
        <c:overlap val="100"/>
        <c:axId val="60981248"/>
        <c:axId val="60982784"/>
      </c:barChart>
      <c:catAx>
        <c:axId val="60981248"/>
        <c:scaling>
          <c:orientation val="minMax"/>
        </c:scaling>
        <c:axPos val="b"/>
        <c:numFmt formatCode="&quot;$&quot;#,##0_);\(&quot;$&quot;#,##0\)" sourceLinked="1"/>
        <c:tickLblPos val="nextTo"/>
        <c:crossAx val="60982784"/>
        <c:crosses val="autoZero"/>
        <c:auto val="1"/>
        <c:lblAlgn val="ctr"/>
        <c:lblOffset val="100"/>
      </c:catAx>
      <c:valAx>
        <c:axId val="60982784"/>
        <c:scaling>
          <c:orientation val="minMax"/>
        </c:scaling>
        <c:axPos val="l"/>
        <c:majorGridlines/>
        <c:numFmt formatCode="&quot;$&quot;#,##0_);\(&quot;$&quot;#,##0\)" sourceLinked="1"/>
        <c:tickLblPos val="nextTo"/>
        <c:crossAx val="60981248"/>
        <c:crosses val="autoZero"/>
        <c:crossBetween val="between"/>
      </c:valAx>
    </c:plotArea>
    <c:legend>
      <c:legendPos val="r"/>
      <c:layout>
        <c:manualLayout>
          <c:xMode val="edge"/>
          <c:yMode val="edge"/>
          <c:x val="0.66851531058618541"/>
          <c:y val="0.39761744067705873"/>
          <c:w val="0.31481802274716048"/>
          <c:h val="0.44429099423796531"/>
        </c:manualLayout>
      </c:layout>
    </c:legend>
    <c:plotVisOnly val="1"/>
  </c:chart>
  <c:printSettings>
    <c:headerFooter/>
    <c:pageMargins b="0.75000000000000533" l="0.70000000000000062" r="0.70000000000000062" t="0.750000000000005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Shares'!$A$8:$A$20</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Shares'!$B$8:$B$20</c:f>
              <c:numCache>
                <c:formatCode>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38100</xdr:rowOff>
    </xdr:from>
    <xdr:to>
      <xdr:col>6</xdr:col>
      <xdr:colOff>3348460</xdr:colOff>
      <xdr:row>49</xdr:row>
      <xdr:rowOff>33277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6</xdr:col>
      <xdr:colOff>3371850</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642257</xdr:colOff>
      <xdr:row>62</xdr:row>
      <xdr:rowOff>92529</xdr:rowOff>
    </xdr:from>
    <xdr:to>
      <xdr:col>4</xdr:col>
      <xdr:colOff>975632</xdr:colOff>
      <xdr:row>64</xdr:row>
      <xdr:rowOff>44904</xdr:rowOff>
    </xdr:to>
    <xdr:sp macro="" textlink="">
      <xdr:nvSpPr>
        <xdr:cNvPr id="8" name="TextBox 7"/>
        <xdr:cNvSpPr txBox="1"/>
      </xdr:nvSpPr>
      <xdr:spPr>
        <a:xfrm>
          <a:off x="5649686" y="15917636"/>
          <a:ext cx="1204232"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t>$628,500</a:t>
          </a:r>
        </a:p>
      </xdr:txBody>
    </xdr:sp>
    <xdr:clientData/>
  </xdr:twoCellAnchor>
  <xdr:twoCellAnchor>
    <xdr:from>
      <xdr:col>1</xdr:col>
      <xdr:colOff>0</xdr:colOff>
      <xdr:row>85</xdr:row>
      <xdr:rowOff>28575</xdr:rowOff>
    </xdr:from>
    <xdr:to>
      <xdr:col>6</xdr:col>
      <xdr:colOff>3362326</xdr:colOff>
      <xdr:row>116</xdr:row>
      <xdr:rowOff>85725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515470</xdr:colOff>
      <xdr:row>4</xdr:row>
      <xdr:rowOff>1</xdr:rowOff>
    </xdr:from>
    <xdr:to>
      <xdr:col>45</xdr:col>
      <xdr:colOff>537882</xdr:colOff>
      <xdr:row>11</xdr:row>
      <xdr:rowOff>358589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33617</xdr:colOff>
      <xdr:row>3</xdr:row>
      <xdr:rowOff>336175</xdr:rowOff>
    </xdr:from>
    <xdr:to>
      <xdr:col>34</xdr:col>
      <xdr:colOff>291352</xdr:colOff>
      <xdr:row>10</xdr:row>
      <xdr:rowOff>179293</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0.17663</cdr:x>
      <cdr:y>0.06296</cdr:y>
    </cdr:from>
    <cdr:to>
      <cdr:x>0.29163</cdr:x>
      <cdr:y>0.11127</cdr:y>
    </cdr:to>
    <cdr:sp macro="" textlink="">
      <cdr:nvSpPr>
        <cdr:cNvPr id="3" name="TextBox 2"/>
        <cdr:cNvSpPr txBox="1"/>
      </cdr:nvSpPr>
      <cdr:spPr>
        <a:xfrm xmlns:a="http://schemas.openxmlformats.org/drawingml/2006/main">
          <a:off x="1828800" y="409576"/>
          <a:ext cx="1190625"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a:t>$1,080,000</a:t>
          </a:r>
        </a:p>
      </cdr:txBody>
    </cdr:sp>
  </cdr:relSizeAnchor>
</c:userShapes>
</file>

<file path=xl/drawings/drawing3.xml><?xml version="1.0" encoding="utf-8"?>
<c:userShapes xmlns:c="http://schemas.openxmlformats.org/drawingml/2006/chart">
  <cdr:relSizeAnchor xmlns:cdr="http://schemas.openxmlformats.org/drawingml/2006/chartDrawing">
    <cdr:from>
      <cdr:x>0.47004</cdr:x>
      <cdr:y>0.07188</cdr:y>
    </cdr:from>
    <cdr:to>
      <cdr:x>0.63247</cdr:x>
      <cdr:y>0.12779</cdr:y>
    </cdr:to>
    <cdr:sp macro="" textlink="">
      <cdr:nvSpPr>
        <cdr:cNvPr id="6" name="TextBox 7"/>
        <cdr:cNvSpPr txBox="1"/>
      </cdr:nvSpPr>
      <cdr:spPr>
        <a:xfrm xmlns:a="http://schemas.openxmlformats.org/drawingml/2006/main">
          <a:off x="3439490" y="428595"/>
          <a:ext cx="1188539" cy="333372"/>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800"/>
            <a:t>$871,500</a:t>
          </a:r>
        </a:p>
      </cdr:txBody>
    </cdr:sp>
  </cdr:relSizeAnchor>
  <cdr:relSizeAnchor xmlns:cdr="http://schemas.openxmlformats.org/drawingml/2006/chartDrawing">
    <cdr:from>
      <cdr:x>0.18894</cdr:x>
      <cdr:y>0.46326</cdr:y>
    </cdr:from>
    <cdr:to>
      <cdr:x>0.28664</cdr:x>
      <cdr:y>0.4984</cdr:y>
    </cdr:to>
    <cdr:sp macro="" textlink="">
      <cdr:nvSpPr>
        <cdr:cNvPr id="7" name="TextBox 6"/>
        <cdr:cNvSpPr txBox="1"/>
      </cdr:nvSpPr>
      <cdr:spPr>
        <a:xfrm xmlns:a="http://schemas.openxmlformats.org/drawingml/2006/main">
          <a:off x="1952625" y="2762250"/>
          <a:ext cx="100965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0.18433</cdr:x>
      <cdr:y>0.45687</cdr:y>
    </cdr:from>
    <cdr:to>
      <cdr:x>0.28295</cdr:x>
      <cdr:y>0.50639</cdr:y>
    </cdr:to>
    <cdr:sp macro="" textlink="">
      <cdr:nvSpPr>
        <cdr:cNvPr id="8" name="TextBox 7"/>
        <cdr:cNvSpPr txBox="1"/>
      </cdr:nvSpPr>
      <cdr:spPr>
        <a:xfrm xmlns:a="http://schemas.openxmlformats.org/drawingml/2006/main">
          <a:off x="1904999" y="2724150"/>
          <a:ext cx="10191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a:t>$420,000</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9524</xdr:colOff>
      <xdr:row>17</xdr:row>
      <xdr:rowOff>19050</xdr:rowOff>
    </xdr:from>
    <xdr:to>
      <xdr:col>14</xdr:col>
      <xdr:colOff>619124</xdr:colOff>
      <xdr:row>31</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723897</xdr:colOff>
      <xdr:row>33</xdr:row>
      <xdr:rowOff>66674</xdr:rowOff>
    </xdr:from>
    <xdr:to>
      <xdr:col>14</xdr:col>
      <xdr:colOff>762000</xdr:colOff>
      <xdr:row>50</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733424</xdr:colOff>
      <xdr:row>52</xdr:row>
      <xdr:rowOff>0</xdr:rowOff>
    </xdr:from>
    <xdr:to>
      <xdr:col>14</xdr:col>
      <xdr:colOff>771524</xdr:colOff>
      <xdr:row>69</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190499</xdr:colOff>
      <xdr:row>5</xdr:row>
      <xdr:rowOff>742950</xdr:rowOff>
    </xdr:from>
    <xdr:to>
      <xdr:col>1</xdr:col>
      <xdr:colOff>942974</xdr:colOff>
      <xdr:row>14</xdr:row>
      <xdr:rowOff>95250</xdr:rowOff>
    </xdr:to>
    <xdr:sp macro="" textlink="">
      <xdr:nvSpPr>
        <xdr:cNvPr id="3" name="Rounded Rectangular Callout 2" descr="5bb34e46-69ca-42c4-967c-2f067a52e970"/>
        <xdr:cNvSpPr/>
      </xdr:nvSpPr>
      <xdr:spPr>
        <a:xfrm>
          <a:off x="190499" y="1771650"/>
          <a:ext cx="2028825" cy="146685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2012 to reflect less of  Tom, Charlie &amp; Gillian's management after addition of Nick O'Neil as RTF manager.  </a:t>
          </a:r>
        </a:p>
        <a:p>
          <a:pPr algn="l"/>
          <a:endParaRPr lang="en-US"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561975</xdr:colOff>
      <xdr:row>1</xdr:row>
      <xdr:rowOff>47625</xdr:rowOff>
    </xdr:from>
    <xdr:to>
      <xdr:col>23</xdr:col>
      <xdr:colOff>533400</xdr:colOff>
      <xdr:row>29</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B1:C11"/>
  <sheetViews>
    <sheetView workbookViewId="0">
      <selection activeCell="B2" sqref="B2"/>
    </sheetView>
  </sheetViews>
  <sheetFormatPr defaultRowHeight="15"/>
  <cols>
    <col min="2" max="2" width="27.85546875" customWidth="1"/>
    <col min="3" max="3" width="92" customWidth="1"/>
    <col min="4" max="4" width="9.7109375" bestFit="1" customWidth="1"/>
  </cols>
  <sheetData>
    <row r="1" spans="2:3" ht="23.25">
      <c r="B1" s="76" t="s">
        <v>128</v>
      </c>
    </row>
    <row r="2" spans="2:3">
      <c r="B2" s="45" t="s">
        <v>270</v>
      </c>
      <c r="C2" s="88"/>
    </row>
    <row r="4" spans="2:3">
      <c r="B4" s="92" t="s">
        <v>125</v>
      </c>
      <c r="C4" s="92" t="s">
        <v>126</v>
      </c>
    </row>
    <row r="5" spans="2:3">
      <c r="B5" s="89" t="s">
        <v>128</v>
      </c>
      <c r="C5" s="90"/>
    </row>
    <row r="6" spans="2:3" ht="75">
      <c r="B6" s="89" t="s">
        <v>175</v>
      </c>
      <c r="C6" s="14" t="s">
        <v>271</v>
      </c>
    </row>
    <row r="7" spans="2:3" ht="60">
      <c r="B7" s="89" t="s">
        <v>176</v>
      </c>
      <c r="C7" s="14" t="s">
        <v>177</v>
      </c>
    </row>
    <row r="8" spans="2:3" ht="30">
      <c r="B8" s="89" t="s">
        <v>256</v>
      </c>
      <c r="C8" s="14" t="s">
        <v>257</v>
      </c>
    </row>
    <row r="9" spans="2:3">
      <c r="B9" s="89" t="s">
        <v>130</v>
      </c>
      <c r="C9" s="14" t="s">
        <v>133</v>
      </c>
    </row>
    <row r="10" spans="2:3" ht="30">
      <c r="B10" s="89" t="s">
        <v>131</v>
      </c>
      <c r="C10" s="14" t="s">
        <v>132</v>
      </c>
    </row>
    <row r="11" spans="2:3" ht="30">
      <c r="B11" s="89" t="s">
        <v>157</v>
      </c>
      <c r="C11" s="14"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B1:Y19"/>
  <sheetViews>
    <sheetView topLeftCell="A64" zoomScale="85" zoomScaleNormal="85" workbookViewId="0">
      <selection activeCell="I98" sqref="I98"/>
    </sheetView>
  </sheetViews>
  <sheetFormatPr defaultColWidth="8.85546875" defaultRowHeight="15"/>
  <cols>
    <col min="2" max="2" width="52.7109375" customWidth="1"/>
    <col min="3" max="3" width="13.7109375" customWidth="1"/>
    <col min="4" max="4" width="13" bestFit="1" customWidth="1"/>
    <col min="5" max="5" width="15.28515625" bestFit="1" customWidth="1"/>
    <col min="6" max="6" width="15" customWidth="1"/>
    <col min="7" max="7" width="53.5703125" hidden="1" customWidth="1"/>
    <col min="8" max="8" width="9.5703125" customWidth="1"/>
    <col min="9" max="9" width="8.28515625" bestFit="1" customWidth="1"/>
    <col min="10" max="10" width="15.5703125" customWidth="1"/>
    <col min="11" max="11" width="13.42578125" bestFit="1" customWidth="1"/>
    <col min="12" max="12" width="15.28515625" bestFit="1" customWidth="1"/>
    <col min="13" max="13" width="14" customWidth="1"/>
    <col min="15" max="15" width="35.85546875" customWidth="1"/>
    <col min="16" max="18" width="12.28515625" customWidth="1"/>
    <col min="19" max="21" width="11.7109375" customWidth="1"/>
    <col min="23" max="23" width="17.5703125" customWidth="1"/>
    <col min="24" max="24" width="10.85546875" bestFit="1" customWidth="1"/>
    <col min="25" max="25" width="10.7109375" customWidth="1"/>
  </cols>
  <sheetData>
    <row r="1" spans="2:25" ht="23.25">
      <c r="B1" s="225" t="s">
        <v>178</v>
      </c>
    </row>
    <row r="2" spans="2:25">
      <c r="B2" s="45" t="str">
        <f>'Table of Contents'!B2</f>
        <v>Staff Proposed - October, 2013</v>
      </c>
    </row>
    <row r="3" spans="2:25">
      <c r="B3" s="47"/>
    </row>
    <row r="4" spans="2:25" ht="26.25" customHeight="1">
      <c r="C4" s="265" t="s">
        <v>269</v>
      </c>
      <c r="D4" s="266"/>
      <c r="E4" s="266"/>
      <c r="F4" s="267"/>
      <c r="G4" s="13"/>
      <c r="J4" s="265" t="s">
        <v>238</v>
      </c>
      <c r="K4" s="266"/>
      <c r="L4" s="266"/>
      <c r="M4" s="267"/>
    </row>
    <row r="5" spans="2:25" ht="51.75">
      <c r="B5" s="12" t="s">
        <v>53</v>
      </c>
      <c r="C5" s="13" t="s">
        <v>289</v>
      </c>
      <c r="D5" s="13" t="s">
        <v>290</v>
      </c>
      <c r="E5" s="158" t="s">
        <v>241</v>
      </c>
      <c r="F5" s="163" t="s">
        <v>240</v>
      </c>
      <c r="G5" s="13" t="s">
        <v>126</v>
      </c>
      <c r="H5" s="13" t="s">
        <v>268</v>
      </c>
      <c r="J5" s="13" t="s">
        <v>291</v>
      </c>
      <c r="K5" s="13" t="s">
        <v>292</v>
      </c>
      <c r="L5" s="208" t="s">
        <v>239</v>
      </c>
      <c r="M5" s="114" t="s">
        <v>167</v>
      </c>
      <c r="O5" s="240" t="s">
        <v>53</v>
      </c>
      <c r="P5" s="13" t="s">
        <v>291</v>
      </c>
      <c r="Q5" s="13" t="s">
        <v>292</v>
      </c>
      <c r="R5" s="208" t="s">
        <v>239</v>
      </c>
      <c r="S5" s="13" t="s">
        <v>289</v>
      </c>
      <c r="T5" s="13" t="s">
        <v>290</v>
      </c>
      <c r="U5" s="158" t="s">
        <v>241</v>
      </c>
      <c r="W5" s="241"/>
      <c r="X5" s="13">
        <v>2012</v>
      </c>
      <c r="Y5" s="13">
        <v>2013</v>
      </c>
    </row>
    <row r="6" spans="2:25" ht="53.25" customHeight="1">
      <c r="B6" s="150" t="s">
        <v>56</v>
      </c>
      <c r="C6" s="21">
        <f>'Category Detail (2013)'!C17</f>
        <v>120500</v>
      </c>
      <c r="D6" s="21">
        <f>'Category Detail (2013)'!D17</f>
        <v>429100</v>
      </c>
      <c r="E6" s="159">
        <f>'Category Detail (2013)'!E17</f>
        <v>549600</v>
      </c>
      <c r="F6" s="164">
        <f>'Category Detail (2013)'!F17</f>
        <v>23000</v>
      </c>
      <c r="G6" s="22"/>
      <c r="H6" s="226">
        <f>E6/$E$15</f>
        <v>0.3664</v>
      </c>
      <c r="I6" s="207"/>
      <c r="J6" s="21">
        <v>400000</v>
      </c>
      <c r="K6" s="21">
        <v>87000</v>
      </c>
      <c r="L6" s="209">
        <v>487000</v>
      </c>
      <c r="M6" s="210">
        <v>33500</v>
      </c>
      <c r="O6" s="268" t="s">
        <v>286</v>
      </c>
      <c r="P6" s="256">
        <f>SUM(J6:J8)</f>
        <v>635000</v>
      </c>
      <c r="Q6" s="256">
        <f t="shared" ref="Q6:R6" si="0">SUM(K6:K8)</f>
        <v>166000</v>
      </c>
      <c r="R6" s="256">
        <f t="shared" si="0"/>
        <v>801000</v>
      </c>
      <c r="S6" s="248">
        <f>SUM(C6:C8)</f>
        <v>256500</v>
      </c>
      <c r="T6" s="248">
        <f>SUM(D6:D8)</f>
        <v>520600</v>
      </c>
      <c r="U6" s="248">
        <f>SUM(E6:E8)</f>
        <v>777100</v>
      </c>
      <c r="W6" s="241" t="s">
        <v>293</v>
      </c>
      <c r="X6" s="239">
        <f>P15</f>
        <v>1080000</v>
      </c>
      <c r="Y6" s="239">
        <f>S15</f>
        <v>637500</v>
      </c>
    </row>
    <row r="7" spans="2:25" ht="60" customHeight="1">
      <c r="B7" s="150" t="s">
        <v>73</v>
      </c>
      <c r="C7" s="21">
        <f>'Category Detail (2013)'!C24</f>
        <v>92000</v>
      </c>
      <c r="D7" s="21">
        <f>'Category Detail (2013)'!D24</f>
        <v>69000</v>
      </c>
      <c r="E7" s="159">
        <f>'Category Detail (2013)'!E24</f>
        <v>161000</v>
      </c>
      <c r="F7" s="164">
        <f>'Category Detail (2013)'!F24</f>
        <v>4500</v>
      </c>
      <c r="G7" s="22"/>
      <c r="H7" s="226">
        <f>E7/$E$15</f>
        <v>0.10733333333333334</v>
      </c>
      <c r="I7" s="207"/>
      <c r="J7" s="21">
        <v>101000</v>
      </c>
      <c r="K7" s="21">
        <v>37000</v>
      </c>
      <c r="L7" s="209">
        <v>138000</v>
      </c>
      <c r="M7" s="210">
        <v>18000</v>
      </c>
      <c r="O7" s="269"/>
      <c r="P7" s="257"/>
      <c r="Q7" s="257"/>
      <c r="R7" s="257"/>
      <c r="S7" s="249"/>
      <c r="T7" s="249"/>
      <c r="U7" s="249"/>
      <c r="W7" s="241" t="s">
        <v>294</v>
      </c>
      <c r="X7" s="239">
        <f>Q15</f>
        <v>420000</v>
      </c>
      <c r="Y7" s="239">
        <f>T15</f>
        <v>862500</v>
      </c>
    </row>
    <row r="8" spans="2:25" ht="38.25" customHeight="1">
      <c r="B8" s="150" t="s">
        <v>54</v>
      </c>
      <c r="C8" s="21">
        <f>'Category Detail (2013)'!C31</f>
        <v>44000</v>
      </c>
      <c r="D8" s="21">
        <f>'Category Detail (2013)'!D31</f>
        <v>22500</v>
      </c>
      <c r="E8" s="159">
        <f>'Category Detail (2013)'!E31</f>
        <v>66500</v>
      </c>
      <c r="F8" s="164">
        <f>'Category Detail (2013)'!F31</f>
        <v>2000</v>
      </c>
      <c r="G8" s="22"/>
      <c r="H8" s="226">
        <f t="shared" ref="H8:H14" si="1">E8/$E$15</f>
        <v>4.4333333333333336E-2</v>
      </c>
      <c r="I8" s="207"/>
      <c r="J8" s="21">
        <v>134000</v>
      </c>
      <c r="K8" s="21">
        <v>42000</v>
      </c>
      <c r="L8" s="209">
        <v>176000</v>
      </c>
      <c r="M8" s="210">
        <v>24500</v>
      </c>
      <c r="O8" s="270"/>
      <c r="P8" s="258"/>
      <c r="Q8" s="258"/>
      <c r="R8" s="258"/>
      <c r="S8" s="250"/>
      <c r="T8" s="250"/>
      <c r="U8" s="250"/>
      <c r="W8" s="238" t="s">
        <v>23</v>
      </c>
      <c r="X8" s="80">
        <f>SUM(X6:X7)</f>
        <v>1500000</v>
      </c>
      <c r="Y8" s="80">
        <f>SUM(Y6:Y7)</f>
        <v>1500000</v>
      </c>
    </row>
    <row r="9" spans="2:25" ht="38.25" customHeight="1">
      <c r="B9" s="151" t="s">
        <v>71</v>
      </c>
      <c r="C9" s="16">
        <f>'Category Detail (2013)'!C40</f>
        <v>57000</v>
      </c>
      <c r="D9" s="16">
        <f>'Category Detail (2013)'!D40</f>
        <v>38000</v>
      </c>
      <c r="E9" s="160">
        <f>'Category Detail (2013)'!E40</f>
        <v>95000</v>
      </c>
      <c r="F9" s="165">
        <f>'Category Detail (2013)'!F40</f>
        <v>3000</v>
      </c>
      <c r="G9" s="17"/>
      <c r="H9" s="227">
        <f t="shared" si="1"/>
        <v>6.3333333333333339E-2</v>
      </c>
      <c r="I9" s="207"/>
      <c r="J9" s="16">
        <v>86000</v>
      </c>
      <c r="K9" s="16">
        <v>48000</v>
      </c>
      <c r="L9" s="211">
        <v>134000</v>
      </c>
      <c r="M9" s="212">
        <v>12000</v>
      </c>
      <c r="O9" s="259" t="s">
        <v>287</v>
      </c>
      <c r="P9" s="262">
        <f>SUM(J9:J11)</f>
        <v>266000</v>
      </c>
      <c r="Q9" s="262">
        <f t="shared" ref="Q9:R9" si="2">SUM(K9:K11)</f>
        <v>154000</v>
      </c>
      <c r="R9" s="262">
        <f t="shared" si="2"/>
        <v>420000</v>
      </c>
      <c r="S9" s="251">
        <f>SUM(C9:C11)</f>
        <v>204000</v>
      </c>
      <c r="T9" s="251">
        <f t="shared" ref="T9:U9" si="3">SUM(D9:D11)</f>
        <v>129900</v>
      </c>
      <c r="U9" s="251">
        <f t="shared" si="3"/>
        <v>333900</v>
      </c>
    </row>
    <row r="10" spans="2:25" ht="38.25" customHeight="1">
      <c r="B10" s="151" t="s">
        <v>31</v>
      </c>
      <c r="C10" s="16">
        <f>'Category Detail (2013)'!C50</f>
        <v>127000</v>
      </c>
      <c r="D10" s="16">
        <f>'Category Detail (2013)'!D50</f>
        <v>24900</v>
      </c>
      <c r="E10" s="160">
        <f>'Category Detail (2013)'!E50</f>
        <v>151900</v>
      </c>
      <c r="F10" s="165">
        <f>'Category Detail (2013)'!F50</f>
        <v>12450</v>
      </c>
      <c r="G10" s="17"/>
      <c r="H10" s="227">
        <f t="shared" si="1"/>
        <v>0.10126666666666667</v>
      </c>
      <c r="I10" s="207"/>
      <c r="J10" s="16">
        <v>180000</v>
      </c>
      <c r="K10" s="16">
        <v>48000</v>
      </c>
      <c r="L10" s="211">
        <v>228000</v>
      </c>
      <c r="M10" s="212">
        <v>24000</v>
      </c>
      <c r="O10" s="260"/>
      <c r="P10" s="263"/>
      <c r="Q10" s="263"/>
      <c r="R10" s="263"/>
      <c r="S10" s="252"/>
      <c r="T10" s="252"/>
      <c r="U10" s="252"/>
    </row>
    <row r="11" spans="2:25" ht="38.25" customHeight="1">
      <c r="B11" s="151" t="s">
        <v>78</v>
      </c>
      <c r="C11" s="16">
        <f>'Category Detail (2013)'!C61</f>
        <v>20000</v>
      </c>
      <c r="D11" s="16">
        <f>'Category Detail (2013)'!D61</f>
        <v>67000</v>
      </c>
      <c r="E11" s="160">
        <f>'Category Detail (2013)'!E61</f>
        <v>87000</v>
      </c>
      <c r="F11" s="165">
        <f>'Category Detail (2013)'!F61</f>
        <v>16000</v>
      </c>
      <c r="G11" s="17"/>
      <c r="H11" s="227">
        <f t="shared" si="1"/>
        <v>5.8000000000000003E-2</v>
      </c>
      <c r="I11" s="207"/>
      <c r="J11" s="16">
        <v>0</v>
      </c>
      <c r="K11" s="16">
        <v>58000</v>
      </c>
      <c r="L11" s="211">
        <v>58000</v>
      </c>
      <c r="M11" s="212">
        <v>12000</v>
      </c>
      <c r="O11" s="261"/>
      <c r="P11" s="264"/>
      <c r="Q11" s="264"/>
      <c r="R11" s="264"/>
      <c r="S11" s="253"/>
      <c r="T11" s="253"/>
      <c r="U11" s="253"/>
    </row>
    <row r="12" spans="2:25" ht="38.25" customHeight="1">
      <c r="B12" s="152" t="s">
        <v>52</v>
      </c>
      <c r="C12" s="10">
        <f>'Category Detail (2013)'!C69</f>
        <v>0</v>
      </c>
      <c r="D12" s="10">
        <f>'Category Detail (2013)'!D69</f>
        <v>0</v>
      </c>
      <c r="E12" s="161">
        <f>'Category Detail (2013)'!E69</f>
        <v>0</v>
      </c>
      <c r="F12" s="166">
        <f>'Category Detail (2013)'!F69</f>
        <v>65000</v>
      </c>
      <c r="G12" s="19"/>
      <c r="H12" s="228">
        <f t="shared" si="1"/>
        <v>0</v>
      </c>
      <c r="I12" s="207"/>
      <c r="J12" s="10">
        <v>0</v>
      </c>
      <c r="K12" s="10">
        <v>0</v>
      </c>
      <c r="L12" s="213">
        <v>0</v>
      </c>
      <c r="M12" s="214">
        <v>50000</v>
      </c>
      <c r="O12" s="254" t="s">
        <v>288</v>
      </c>
      <c r="P12" s="255">
        <f>SUM(J12:J14)</f>
        <v>179000</v>
      </c>
      <c r="Q12" s="255">
        <f t="shared" ref="Q12:R12" si="4">SUM(K12:K14)</f>
        <v>100000</v>
      </c>
      <c r="R12" s="255">
        <f t="shared" si="4"/>
        <v>279000</v>
      </c>
      <c r="S12" s="247">
        <f>SUM(C12:C14)</f>
        <v>177000</v>
      </c>
      <c r="T12" s="247">
        <f t="shared" ref="T12:U12" si="5">SUM(D12:D14)</f>
        <v>212000</v>
      </c>
      <c r="U12" s="247">
        <f t="shared" si="5"/>
        <v>389000</v>
      </c>
    </row>
    <row r="13" spans="2:25" ht="38.25" customHeight="1">
      <c r="B13" s="152" t="s">
        <v>22</v>
      </c>
      <c r="C13" s="10">
        <f>'Category Detail (2013)'!C75</f>
        <v>174000</v>
      </c>
      <c r="D13" s="10">
        <f>'Category Detail (2013)'!D75</f>
        <v>0</v>
      </c>
      <c r="E13" s="161">
        <f>'Category Detail (2013)'!E75</f>
        <v>174000</v>
      </c>
      <c r="F13" s="166">
        <f>'Category Detail (2013)'!F75</f>
        <v>7000</v>
      </c>
      <c r="G13" s="19"/>
      <c r="H13" s="228">
        <f t="shared" si="1"/>
        <v>0.11600000000000001</v>
      </c>
      <c r="I13" s="207"/>
      <c r="J13" s="10">
        <v>174000</v>
      </c>
      <c r="K13" s="10">
        <v>0</v>
      </c>
      <c r="L13" s="213">
        <v>174000</v>
      </c>
      <c r="M13" s="214">
        <v>7000</v>
      </c>
      <c r="O13" s="254"/>
      <c r="P13" s="255"/>
      <c r="Q13" s="255"/>
      <c r="R13" s="255"/>
      <c r="S13" s="247"/>
      <c r="T13" s="247"/>
      <c r="U13" s="247"/>
    </row>
    <row r="14" spans="2:25" ht="38.25" customHeight="1">
      <c r="B14" s="152" t="s">
        <v>55</v>
      </c>
      <c r="C14" s="10">
        <f>'Category Detail (2013)'!C83</f>
        <v>3000</v>
      </c>
      <c r="D14" s="10">
        <f>'Category Detail (2013)'!D83</f>
        <v>212000</v>
      </c>
      <c r="E14" s="161">
        <f>'Category Detail (2013)'!E83</f>
        <v>215000</v>
      </c>
      <c r="F14" s="166">
        <f>'Category Detail (2013)'!F83</f>
        <v>131000</v>
      </c>
      <c r="G14" s="19"/>
      <c r="H14" s="228">
        <f t="shared" si="1"/>
        <v>0.14333333333333334</v>
      </c>
      <c r="I14" s="207"/>
      <c r="J14" s="10">
        <v>5000</v>
      </c>
      <c r="K14" s="10">
        <v>100000</v>
      </c>
      <c r="L14" s="213">
        <v>105000</v>
      </c>
      <c r="M14" s="214">
        <v>180000</v>
      </c>
      <c r="O14" s="254"/>
      <c r="P14" s="255"/>
      <c r="Q14" s="255"/>
      <c r="R14" s="255"/>
      <c r="S14" s="247"/>
      <c r="T14" s="247"/>
      <c r="U14" s="247"/>
    </row>
    <row r="15" spans="2:25" ht="38.25" customHeight="1">
      <c r="B15" s="79" t="s">
        <v>23</v>
      </c>
      <c r="C15" s="80">
        <f>SUM(C6:C14)</f>
        <v>637500</v>
      </c>
      <c r="D15" s="80">
        <f t="shared" ref="D15:F15" si="6">SUM(D6:D14)</f>
        <v>862500</v>
      </c>
      <c r="E15" s="162">
        <f t="shared" si="6"/>
        <v>1500000</v>
      </c>
      <c r="F15" s="167">
        <f t="shared" si="6"/>
        <v>263950</v>
      </c>
      <c r="G15" s="14"/>
      <c r="H15" s="229">
        <f>SUM(H6:H14)</f>
        <v>1.0000000000000002</v>
      </c>
      <c r="I15" s="207"/>
      <c r="J15" s="80">
        <v>1080000</v>
      </c>
      <c r="K15" s="80">
        <v>420000</v>
      </c>
      <c r="L15" s="215">
        <v>1500000</v>
      </c>
      <c r="M15" s="216">
        <v>361000</v>
      </c>
      <c r="O15" s="238" t="s">
        <v>23</v>
      </c>
      <c r="P15" s="239">
        <f>SUM(P6:P14)</f>
        <v>1080000</v>
      </c>
      <c r="Q15" s="239">
        <f t="shared" ref="Q15:R15" si="7">SUM(Q6:Q14)</f>
        <v>420000</v>
      </c>
      <c r="R15" s="239">
        <f t="shared" si="7"/>
        <v>1500000</v>
      </c>
      <c r="S15" s="239">
        <f t="shared" ref="S15" si="8">SUM(S6:S14)</f>
        <v>637500</v>
      </c>
      <c r="T15" s="239">
        <f t="shared" ref="T15" si="9">SUM(T6:T14)</f>
        <v>862500</v>
      </c>
      <c r="U15" s="239">
        <f t="shared" ref="U15" si="10">SUM(U6:U14)</f>
        <v>1500000</v>
      </c>
    </row>
    <row r="16" spans="2:25">
      <c r="L16" s="154"/>
    </row>
    <row r="19" spans="16:17">
      <c r="P19">
        <v>2012</v>
      </c>
      <c r="Q19">
        <v>2013</v>
      </c>
    </row>
  </sheetData>
  <mergeCells count="23">
    <mergeCell ref="C4:F4"/>
    <mergeCell ref="J4:M4"/>
    <mergeCell ref="O6:O8"/>
    <mergeCell ref="P6:P8"/>
    <mergeCell ref="Q6:Q8"/>
    <mergeCell ref="O12:O14"/>
    <mergeCell ref="P12:P14"/>
    <mergeCell ref="Q12:Q14"/>
    <mergeCell ref="R12:R14"/>
    <mergeCell ref="R6:R8"/>
    <mergeCell ref="O9:O11"/>
    <mergeCell ref="P9:P11"/>
    <mergeCell ref="Q9:Q11"/>
    <mergeCell ref="R9:R11"/>
    <mergeCell ref="S12:S14"/>
    <mergeCell ref="T12:T14"/>
    <mergeCell ref="U12:U14"/>
    <mergeCell ref="S6:S8"/>
    <mergeCell ref="T6:T8"/>
    <mergeCell ref="U6:U8"/>
    <mergeCell ref="S9:S11"/>
    <mergeCell ref="T9:T11"/>
    <mergeCell ref="U9:U11"/>
  </mergeCells>
  <phoneticPr fontId="19" type="noConversion"/>
  <pageMargins left="0.7" right="0.7" top="0.75" bottom="0.75" header="0.3" footer="0.3"/>
  <pageSetup orientation="portrait"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Y95"/>
  <sheetViews>
    <sheetView topLeftCell="A7" zoomScaleNormal="100" zoomScalePageLayoutView="78" workbookViewId="0">
      <pane ySplit="2" topLeftCell="A66" activePane="bottomLeft" state="frozen"/>
      <selection activeCell="A7" sqref="A7"/>
      <selection pane="bottomLeft" activeCell="D49" sqref="D49"/>
    </sheetView>
  </sheetViews>
  <sheetFormatPr defaultColWidth="8.85546875" defaultRowHeight="15"/>
  <cols>
    <col min="1" max="1" width="12.140625" customWidth="1"/>
    <col min="2" max="2" width="84" bestFit="1" customWidth="1"/>
    <col min="3" max="3" width="15.28515625" bestFit="1" customWidth="1"/>
    <col min="4" max="4" width="13.42578125" bestFit="1" customWidth="1"/>
    <col min="5" max="5" width="15.28515625" bestFit="1" customWidth="1"/>
    <col min="6" max="6" width="15.42578125" bestFit="1" customWidth="1"/>
    <col min="7" max="7" width="13.140625" bestFit="1" customWidth="1"/>
    <col min="8" max="8" width="7" bestFit="1" customWidth="1"/>
    <col min="9" max="10" width="9.5703125" bestFit="1" customWidth="1"/>
    <col min="11" max="11" width="9.140625" bestFit="1" customWidth="1"/>
    <col min="12" max="12" width="180.28515625" bestFit="1" customWidth="1"/>
    <col min="13" max="13" width="8.85546875" style="49"/>
  </cols>
  <sheetData>
    <row r="1" spans="1:22" ht="23.25">
      <c r="B1" s="76" t="s">
        <v>185</v>
      </c>
    </row>
    <row r="2" spans="1:22">
      <c r="B2" s="45" t="str">
        <f>'Table of Contents'!B2</f>
        <v>Staff Proposed - October, 2013</v>
      </c>
    </row>
    <row r="3" spans="1:22">
      <c r="B3" s="47"/>
    </row>
    <row r="4" spans="1:22">
      <c r="B4" t="s">
        <v>113</v>
      </c>
    </row>
    <row r="5" spans="1:22">
      <c r="B5" t="s">
        <v>114</v>
      </c>
    </row>
    <row r="7" spans="1:22" ht="29.25" customHeight="1">
      <c r="E7" s="153">
        <f>E86</f>
        <v>1500000</v>
      </c>
      <c r="G7" s="77"/>
      <c r="H7" s="271" t="s">
        <v>112</v>
      </c>
      <c r="I7" s="272"/>
      <c r="J7" s="272"/>
      <c r="K7" s="273"/>
    </row>
    <row r="8" spans="1:22" s="2" customFormat="1" ht="75">
      <c r="A8" s="155" t="s">
        <v>277</v>
      </c>
      <c r="B8" s="155" t="s">
        <v>219</v>
      </c>
      <c r="C8" s="156" t="s">
        <v>57</v>
      </c>
      <c r="D8" s="156" t="s">
        <v>235</v>
      </c>
      <c r="E8" s="156" t="s">
        <v>173</v>
      </c>
      <c r="F8" s="156" t="s">
        <v>172</v>
      </c>
      <c r="G8" s="156" t="s">
        <v>279</v>
      </c>
      <c r="H8" s="90" t="s">
        <v>76</v>
      </c>
      <c r="I8" s="90" t="s">
        <v>77</v>
      </c>
      <c r="J8" s="90" t="s">
        <v>29</v>
      </c>
      <c r="K8" s="90" t="s">
        <v>30</v>
      </c>
      <c r="L8" s="5" t="s">
        <v>20</v>
      </c>
      <c r="M8" s="46"/>
    </row>
    <row r="9" spans="1:22" s="171" customFormat="1" ht="15.75">
      <c r="B9" s="126" t="s">
        <v>56</v>
      </c>
      <c r="C9" s="127"/>
      <c r="D9" s="127"/>
      <c r="E9" s="127"/>
      <c r="F9" s="127"/>
      <c r="G9" s="168"/>
      <c r="H9" s="168"/>
      <c r="I9" s="169"/>
      <c r="J9" s="168"/>
      <c r="K9" s="168"/>
      <c r="L9" s="168"/>
      <c r="M9" s="170"/>
      <c r="N9" s="168"/>
      <c r="O9" s="168"/>
      <c r="P9" s="168"/>
      <c r="Q9" s="168"/>
      <c r="R9" s="168"/>
      <c r="S9" s="168"/>
      <c r="T9" s="168"/>
      <c r="U9" s="168"/>
      <c r="V9" s="168"/>
    </row>
    <row r="10" spans="1:22" s="171" customFormat="1">
      <c r="B10" s="128" t="s">
        <v>195</v>
      </c>
      <c r="C10" s="172">
        <f t="shared" ref="C10:C15" si="0">H10*I10</f>
        <v>15000</v>
      </c>
      <c r="D10" s="172">
        <f t="shared" ref="D10:D15" si="1">H10*J10</f>
        <v>33000</v>
      </c>
      <c r="E10" s="172">
        <f t="shared" ref="E10:E15" si="2">SUM(C10:D10)</f>
        <v>48000</v>
      </c>
      <c r="F10" s="172">
        <f t="shared" ref="F10:F15" si="3">H10*K10</f>
        <v>1500</v>
      </c>
      <c r="G10" s="206"/>
      <c r="H10" s="168">
        <v>6</v>
      </c>
      <c r="I10" s="169">
        <v>2500</v>
      </c>
      <c r="J10" s="173">
        <v>5500</v>
      </c>
      <c r="K10" s="224">
        <v>250</v>
      </c>
      <c r="L10" s="129" t="str">
        <f>CONCATENATE("Average 3-year review cycle or n=",H10," per year @ $",I10/1000,"K each. (Res CFL, PTCS CCS, Estar homes, ID/MT Bop2, PC Power Mgmt, Res. Refrigerators. Assume staff does most of the updating and 3rd party contractor reviews")</f>
        <v>Average 3-year review cycle or n=6 per year @ $2.5K each. (Res CFL, PTCS CCS, Estar homes, ID/MT Bop2, PC Power Mgmt, Res. Refrigerators. Assume staff does most of the updating and 3rd party contractor reviews</v>
      </c>
      <c r="M10" s="170"/>
      <c r="N10" s="168"/>
      <c r="O10" s="168"/>
      <c r="P10" s="168"/>
      <c r="Q10" s="168"/>
      <c r="R10" s="168"/>
      <c r="S10" s="168"/>
      <c r="T10" s="168"/>
      <c r="U10" s="168"/>
      <c r="V10" s="168"/>
    </row>
    <row r="11" spans="1:22" s="171" customFormat="1">
      <c r="A11" s="246" t="s">
        <v>303</v>
      </c>
      <c r="B11" s="128" t="s">
        <v>196</v>
      </c>
      <c r="C11" s="172">
        <f t="shared" ref="C11" si="4">H11*I11</f>
        <v>63000</v>
      </c>
      <c r="D11" s="172">
        <f t="shared" ref="D11" si="5">H11*J11</f>
        <v>136500</v>
      </c>
      <c r="E11" s="172">
        <f t="shared" si="2"/>
        <v>199500</v>
      </c>
      <c r="F11" s="172">
        <f t="shared" ref="F11" si="6">H11*K11</f>
        <v>5250</v>
      </c>
      <c r="G11" s="206"/>
      <c r="H11" s="168">
        <v>21</v>
      </c>
      <c r="I11" s="169">
        <v>3000</v>
      </c>
      <c r="J11" s="224">
        <v>6500</v>
      </c>
      <c r="K11" s="224">
        <v>250</v>
      </c>
      <c r="L11" s="129" t="s">
        <v>232</v>
      </c>
      <c r="M11" s="170"/>
      <c r="N11" s="168"/>
      <c r="O11" s="168"/>
      <c r="P11" s="168"/>
      <c r="Q11" s="168"/>
      <c r="R11" s="168"/>
      <c r="S11" s="168"/>
      <c r="T11" s="168"/>
      <c r="U11" s="168"/>
      <c r="V11" s="168"/>
    </row>
    <row r="12" spans="1:22" s="171" customFormat="1">
      <c r="B12" s="130" t="s">
        <v>197</v>
      </c>
      <c r="C12" s="172">
        <f t="shared" si="0"/>
        <v>7500</v>
      </c>
      <c r="D12" s="172">
        <f t="shared" si="1"/>
        <v>18000</v>
      </c>
      <c r="E12" s="172">
        <f t="shared" si="2"/>
        <v>25500</v>
      </c>
      <c r="F12" s="172">
        <f t="shared" si="3"/>
        <v>750</v>
      </c>
      <c r="G12" s="206"/>
      <c r="H12" s="168">
        <v>3</v>
      </c>
      <c r="I12" s="169">
        <v>2500</v>
      </c>
      <c r="J12" s="173">
        <v>6000</v>
      </c>
      <c r="K12" s="224">
        <v>250</v>
      </c>
      <c r="L12" s="129" t="str">
        <f>CONCATENATE("Expect approx 10 Prov UES on average 3-year review cycle or n=",H12," per year @ $",J12/1000,"K each. HPWH, DHP, HPMH. Expect staff does most of updating and 3rd party contractor reviews")</f>
        <v>Expect approx 10 Prov UES on average 3-year review cycle or n=3 per year @ $6K each. HPWH, DHP, HPMH. Expect staff does most of updating and 3rd party contractor reviews</v>
      </c>
      <c r="M12" s="174"/>
      <c r="N12" s="168"/>
      <c r="O12" s="168"/>
      <c r="P12" s="168"/>
      <c r="Q12" s="168"/>
      <c r="R12" s="168"/>
      <c r="S12" s="168"/>
      <c r="T12" s="168"/>
      <c r="U12" s="168"/>
      <c r="V12" s="168"/>
    </row>
    <row r="13" spans="1:22" s="171" customFormat="1">
      <c r="A13" s="246" t="s">
        <v>301</v>
      </c>
      <c r="B13" s="130" t="s">
        <v>198</v>
      </c>
      <c r="C13" s="175">
        <f t="shared" si="0"/>
        <v>0</v>
      </c>
      <c r="D13" s="175">
        <f t="shared" si="1"/>
        <v>105000</v>
      </c>
      <c r="E13" s="175">
        <f t="shared" si="2"/>
        <v>105000</v>
      </c>
      <c r="F13" s="175">
        <f t="shared" si="3"/>
        <v>5250</v>
      </c>
      <c r="G13" s="206"/>
      <c r="H13" s="236">
        <v>21</v>
      </c>
      <c r="I13" s="169">
        <v>0</v>
      </c>
      <c r="J13" s="173">
        <v>5000</v>
      </c>
      <c r="K13" s="224">
        <v>250</v>
      </c>
      <c r="L13" s="129" t="s">
        <v>247</v>
      </c>
      <c r="M13" s="174"/>
      <c r="N13" s="168"/>
      <c r="O13" s="168"/>
      <c r="P13" s="168"/>
      <c r="Q13" s="168"/>
      <c r="R13" s="168"/>
      <c r="S13" s="168"/>
      <c r="T13" s="168"/>
      <c r="U13" s="168"/>
      <c r="V13" s="168"/>
    </row>
    <row r="14" spans="1:22" s="171" customFormat="1">
      <c r="B14" s="130" t="s">
        <v>199</v>
      </c>
      <c r="C14" s="175">
        <f t="shared" si="0"/>
        <v>20000</v>
      </c>
      <c r="D14" s="175">
        <f t="shared" si="1"/>
        <v>22000</v>
      </c>
      <c r="E14" s="175">
        <f t="shared" si="2"/>
        <v>42000</v>
      </c>
      <c r="F14" s="175">
        <f t="shared" si="3"/>
        <v>500</v>
      </c>
      <c r="G14" s="206"/>
      <c r="H14" s="168">
        <v>2</v>
      </c>
      <c r="I14" s="169">
        <v>10000</v>
      </c>
      <c r="J14" s="173">
        <v>11000</v>
      </c>
      <c r="K14" s="224">
        <v>250</v>
      </c>
      <c r="L14" s="129" t="s">
        <v>236</v>
      </c>
      <c r="M14" s="174"/>
      <c r="N14" s="168"/>
      <c r="O14" s="168"/>
      <c r="P14" s="168"/>
      <c r="Q14" s="168"/>
      <c r="R14" s="168"/>
      <c r="S14" s="168"/>
      <c r="T14" s="168"/>
      <c r="U14" s="168"/>
      <c r="V14" s="168"/>
    </row>
    <row r="15" spans="1:22" s="171" customFormat="1">
      <c r="B15" s="128" t="s">
        <v>233</v>
      </c>
      <c r="C15" s="175">
        <f t="shared" si="0"/>
        <v>15000</v>
      </c>
      <c r="D15" s="175">
        <f t="shared" si="1"/>
        <v>50000</v>
      </c>
      <c r="E15" s="175">
        <f t="shared" si="2"/>
        <v>65000</v>
      </c>
      <c r="F15" s="175">
        <f t="shared" si="3"/>
        <v>1250</v>
      </c>
      <c r="G15" s="206"/>
      <c r="H15" s="176">
        <v>5</v>
      </c>
      <c r="I15" s="169">
        <v>3000</v>
      </c>
      <c r="J15" s="169">
        <v>10000</v>
      </c>
      <c r="K15" s="230">
        <v>250</v>
      </c>
      <c r="L15" s="129" t="str">
        <f>CONCATENATE("Eventual library of 10 Protocols on 3-year review cycle for n=",H15," per year @ $",J15/1000,"K each. N=",H15," for 2013 to take previous deemed calculator conversions to fully developed standard protocol. Assume staff develops, 3rd party contractor reviews")</f>
        <v>Eventual library of 10 Protocols on 3-year review cycle for n=5 per year @ $10K each. N=5 for 2013 to take previous deemed calculator conversions to fully developed standard protocol. Assume staff develops, 3rd party contractor reviews</v>
      </c>
      <c r="M15" s="174"/>
      <c r="N15" s="168"/>
      <c r="O15" s="168"/>
      <c r="P15" s="168"/>
      <c r="Q15" s="168"/>
      <c r="R15" s="168"/>
      <c r="S15" s="168"/>
      <c r="T15" s="168"/>
      <c r="U15" s="168"/>
      <c r="V15" s="168"/>
    </row>
    <row r="16" spans="1:22" s="171" customFormat="1">
      <c r="A16" s="223" t="s">
        <v>302</v>
      </c>
      <c r="B16" s="128" t="s">
        <v>211</v>
      </c>
      <c r="C16" s="175">
        <f t="shared" ref="C16" si="7">H16*I16</f>
        <v>0</v>
      </c>
      <c r="D16" s="175">
        <f t="shared" ref="D16" si="8">H16*J16</f>
        <v>64600</v>
      </c>
      <c r="E16" s="175">
        <f t="shared" ref="E16" si="9">SUM(C16:D16)</f>
        <v>64600</v>
      </c>
      <c r="F16" s="175">
        <f t="shared" ref="F16" si="10">H16*K16</f>
        <v>8500</v>
      </c>
      <c r="G16" s="168"/>
      <c r="H16" s="176">
        <v>34</v>
      </c>
      <c r="I16" s="169">
        <v>0</v>
      </c>
      <c r="J16" s="230">
        <v>1900</v>
      </c>
      <c r="K16" s="230">
        <v>250</v>
      </c>
      <c r="L16" s="129" t="s">
        <v>248</v>
      </c>
      <c r="M16" s="174"/>
      <c r="N16" s="168"/>
      <c r="O16" s="168"/>
      <c r="P16" s="168"/>
      <c r="Q16" s="168"/>
      <c r="R16" s="168"/>
      <c r="S16" s="168"/>
      <c r="T16" s="168"/>
      <c r="U16" s="168"/>
      <c r="V16" s="168"/>
    </row>
    <row r="17" spans="1:22" s="171" customFormat="1" ht="15.75">
      <c r="B17" s="126" t="str">
        <f>CONCATENATE("Subtotal ",B9)</f>
        <v>Subtotal Existing Measure Review &amp; Updates</v>
      </c>
      <c r="C17" s="177">
        <f>SUM(C10:C16)</f>
        <v>120500</v>
      </c>
      <c r="D17" s="177">
        <f t="shared" ref="D17:F17" si="11">SUM(D10:D16)</f>
        <v>429100</v>
      </c>
      <c r="E17" s="177">
        <f t="shared" si="11"/>
        <v>549600</v>
      </c>
      <c r="F17" s="177">
        <f t="shared" si="11"/>
        <v>23000</v>
      </c>
      <c r="G17" s="232">
        <f>E17/$E$86</f>
        <v>0.3664</v>
      </c>
      <c r="H17" s="168"/>
      <c r="I17" s="173"/>
      <c r="J17" s="173"/>
      <c r="K17" s="173"/>
      <c r="L17" s="168"/>
      <c r="M17" s="170"/>
      <c r="N17" s="168"/>
      <c r="O17" s="168"/>
      <c r="P17" s="168"/>
      <c r="Q17" s="168"/>
      <c r="R17" s="168"/>
      <c r="S17" s="168"/>
      <c r="T17" s="168"/>
      <c r="U17" s="168"/>
      <c r="V17" s="168"/>
    </row>
    <row r="18" spans="1:22" s="171" customFormat="1" ht="15.75">
      <c r="B18" s="197"/>
      <c r="C18" s="172"/>
      <c r="D18" s="172"/>
      <c r="E18" s="172"/>
      <c r="F18" s="127"/>
      <c r="G18" s="168"/>
      <c r="H18" s="168"/>
      <c r="I18" s="168"/>
      <c r="J18" s="173"/>
      <c r="K18" s="173"/>
      <c r="L18" s="168"/>
      <c r="M18" s="170"/>
      <c r="N18" s="168"/>
      <c r="O18" s="168"/>
      <c r="P18" s="168"/>
      <c r="Q18" s="168"/>
      <c r="R18" s="168"/>
      <c r="S18" s="168"/>
      <c r="T18" s="168"/>
      <c r="U18" s="168"/>
      <c r="V18" s="168"/>
    </row>
    <row r="19" spans="1:22" s="171" customFormat="1" ht="15.75">
      <c r="B19" s="197"/>
      <c r="C19" s="172"/>
      <c r="D19" s="172"/>
      <c r="E19" s="172"/>
      <c r="F19" s="127"/>
      <c r="G19" s="168"/>
      <c r="H19" s="168"/>
      <c r="I19" s="168"/>
      <c r="J19" s="173"/>
      <c r="K19" s="173"/>
      <c r="L19" s="168"/>
      <c r="M19" s="170"/>
      <c r="N19" s="168"/>
      <c r="O19" s="168"/>
      <c r="P19" s="168"/>
      <c r="Q19" s="168"/>
      <c r="R19" s="168"/>
      <c r="S19" s="168"/>
      <c r="T19" s="168"/>
      <c r="U19" s="168"/>
      <c r="V19" s="168"/>
    </row>
    <row r="20" spans="1:22" s="171" customFormat="1" ht="15.75">
      <c r="B20" s="126" t="s">
        <v>73</v>
      </c>
      <c r="C20" s="172"/>
      <c r="D20" s="172"/>
      <c r="E20" s="172"/>
      <c r="F20" s="127"/>
      <c r="G20" s="168"/>
      <c r="H20" s="168"/>
      <c r="I20" s="173"/>
      <c r="J20" s="173"/>
      <c r="K20" s="173"/>
      <c r="L20" s="168"/>
      <c r="M20" s="170"/>
      <c r="N20" s="168"/>
      <c r="O20" s="168"/>
      <c r="P20" s="168"/>
      <c r="Q20" s="168"/>
      <c r="R20" s="168"/>
      <c r="S20" s="168"/>
      <c r="T20" s="168"/>
      <c r="U20" s="168"/>
      <c r="V20" s="168"/>
    </row>
    <row r="21" spans="1:22" s="171" customFormat="1">
      <c r="B21" s="130" t="s">
        <v>212</v>
      </c>
      <c r="C21" s="172">
        <f t="shared" ref="C21:C23" si="12">H21*I21</f>
        <v>50000</v>
      </c>
      <c r="D21" s="172">
        <f t="shared" ref="D21:D23" si="13">H21*J21</f>
        <v>5000</v>
      </c>
      <c r="E21" s="172">
        <f t="shared" ref="E21:E23" si="14">SUM(C21:D21)</f>
        <v>55000</v>
      </c>
      <c r="F21" s="172">
        <f t="shared" ref="F21:F23" si="15">H21*K21</f>
        <v>500</v>
      </c>
      <c r="G21" s="206"/>
      <c r="H21" s="168">
        <v>2</v>
      </c>
      <c r="I21" s="173">
        <v>25000</v>
      </c>
      <c r="J21" s="173">
        <v>2500</v>
      </c>
      <c r="K21" s="224">
        <v>250</v>
      </c>
      <c r="L21" s="129" t="str">
        <f>CONCATENATE("Develop Small &amp; Rural Measures (",H21," @ $",I21/1000,"K each).  Includes analysis to better understand training or specification simplification. Potential development of healthcare specific measures.")</f>
        <v>Develop Small &amp; Rural Measures (2 @ $25K each).  Includes analysis to better understand training or specification simplification. Potential development of healthcare specific measures.</v>
      </c>
      <c r="M21" s="178"/>
      <c r="N21" s="168"/>
      <c r="O21" s="168"/>
      <c r="P21" s="168"/>
      <c r="Q21" s="168"/>
      <c r="R21" s="168"/>
      <c r="S21" s="168"/>
      <c r="T21" s="168"/>
      <c r="U21" s="168"/>
      <c r="V21" s="168"/>
    </row>
    <row r="22" spans="1:22" s="171" customFormat="1">
      <c r="B22" s="130" t="s">
        <v>200</v>
      </c>
      <c r="C22" s="172">
        <f t="shared" si="12"/>
        <v>18000</v>
      </c>
      <c r="D22" s="172">
        <f t="shared" si="13"/>
        <v>60000</v>
      </c>
      <c r="E22" s="172">
        <f t="shared" si="14"/>
        <v>78000</v>
      </c>
      <c r="F22" s="172">
        <f t="shared" si="15"/>
        <v>3000</v>
      </c>
      <c r="G22" s="206"/>
      <c r="H22" s="168">
        <f>8+4</f>
        <v>12</v>
      </c>
      <c r="I22" s="173">
        <v>1500</v>
      </c>
      <c r="J22" s="173">
        <v>5000</v>
      </c>
      <c r="K22" s="224">
        <v>250</v>
      </c>
      <c r="L22" s="129" t="s">
        <v>237</v>
      </c>
      <c r="M22" s="170"/>
      <c r="N22" s="168"/>
      <c r="O22" s="168"/>
      <c r="P22" s="168"/>
      <c r="Q22" s="168"/>
      <c r="R22" s="168"/>
      <c r="S22" s="168"/>
      <c r="T22" s="168"/>
      <c r="U22" s="168"/>
      <c r="V22" s="168"/>
    </row>
    <row r="23" spans="1:22" s="171" customFormat="1">
      <c r="B23" s="130" t="s">
        <v>213</v>
      </c>
      <c r="C23" s="172">
        <f t="shared" si="12"/>
        <v>24000</v>
      </c>
      <c r="D23" s="172">
        <f t="shared" si="13"/>
        <v>4000</v>
      </c>
      <c r="E23" s="172">
        <f t="shared" si="14"/>
        <v>28000</v>
      </c>
      <c r="F23" s="172">
        <f t="shared" si="15"/>
        <v>1000</v>
      </c>
      <c r="G23" s="206"/>
      <c r="H23" s="168">
        <v>4</v>
      </c>
      <c r="I23" s="173">
        <v>6000</v>
      </c>
      <c r="J23" s="173">
        <v>1000</v>
      </c>
      <c r="K23" s="224">
        <v>250</v>
      </c>
      <c r="L23" s="129" t="s">
        <v>220</v>
      </c>
      <c r="M23" s="170"/>
      <c r="N23" s="168"/>
      <c r="O23" s="168"/>
      <c r="P23" s="168"/>
      <c r="Q23" s="168"/>
      <c r="R23" s="168"/>
      <c r="S23" s="168"/>
      <c r="T23" s="168"/>
      <c r="U23" s="168"/>
      <c r="V23" s="168"/>
    </row>
    <row r="24" spans="1:22" s="171" customFormat="1" ht="15.75">
      <c r="B24" s="126" t="str">
        <f>CONCATENATE("Subtotal ",B20)</f>
        <v>Subtotal New Measure Development &amp; Review of Unsolicited Proposals</v>
      </c>
      <c r="C24" s="177">
        <f>SUM(C21:C23)</f>
        <v>92000</v>
      </c>
      <c r="D24" s="177">
        <f>SUM(D21:D23)</f>
        <v>69000</v>
      </c>
      <c r="E24" s="177">
        <f>SUM(E21:E23)</f>
        <v>161000</v>
      </c>
      <c r="F24" s="177">
        <f>SUM(F21:F23)</f>
        <v>4500</v>
      </c>
      <c r="G24" s="232">
        <f>E24/$E$86</f>
        <v>0.10733333333333334</v>
      </c>
      <c r="H24" s="168"/>
      <c r="I24" s="168"/>
      <c r="J24" s="168"/>
      <c r="K24" s="168"/>
      <c r="L24" s="129"/>
      <c r="M24" s="170"/>
      <c r="N24" s="168"/>
      <c r="O24" s="168"/>
      <c r="P24" s="168"/>
      <c r="Q24" s="168"/>
      <c r="R24" s="168"/>
      <c r="S24" s="168"/>
      <c r="T24" s="168"/>
      <c r="U24" s="168"/>
      <c r="V24" s="168"/>
    </row>
    <row r="25" spans="1:22" s="171" customFormat="1" ht="15.75">
      <c r="B25" s="130"/>
      <c r="C25" s="172"/>
      <c r="D25" s="172"/>
      <c r="E25" s="172"/>
      <c r="F25" s="127"/>
      <c r="G25" s="168"/>
      <c r="H25" s="168"/>
      <c r="I25" s="168"/>
      <c r="J25" s="168"/>
      <c r="K25" s="168"/>
      <c r="L25" s="129"/>
      <c r="M25" s="170"/>
      <c r="N25" s="168"/>
      <c r="O25" s="168"/>
      <c r="P25" s="168"/>
      <c r="Q25" s="168"/>
      <c r="R25" s="168"/>
      <c r="S25" s="168"/>
      <c r="T25" s="168"/>
      <c r="U25" s="168"/>
      <c r="V25" s="168"/>
    </row>
    <row r="26" spans="1:22" s="171" customFormat="1" ht="15.75">
      <c r="B26" s="197"/>
      <c r="C26" s="172"/>
      <c r="D26" s="172"/>
      <c r="E26" s="172"/>
      <c r="F26" s="127"/>
      <c r="G26" s="168"/>
      <c r="H26" s="168"/>
      <c r="I26" s="168"/>
      <c r="J26" s="179"/>
      <c r="K26" s="179"/>
      <c r="L26" s="129"/>
      <c r="M26" s="170"/>
      <c r="N26" s="168"/>
      <c r="O26" s="168"/>
      <c r="P26" s="168"/>
      <c r="Q26" s="168"/>
      <c r="R26" s="168"/>
      <c r="S26" s="168"/>
      <c r="T26" s="168"/>
      <c r="U26" s="168"/>
      <c r="V26" s="168"/>
    </row>
    <row r="27" spans="1:22" s="180" customFormat="1" ht="15.75">
      <c r="B27" s="126" t="s">
        <v>54</v>
      </c>
      <c r="C27" s="179"/>
      <c r="D27" s="179"/>
      <c r="E27" s="179"/>
      <c r="F27" s="179"/>
      <c r="G27" s="179"/>
      <c r="H27" s="179"/>
      <c r="I27" s="179"/>
      <c r="J27" s="179"/>
      <c r="K27" s="179"/>
      <c r="L27" s="129"/>
      <c r="M27" s="178"/>
      <c r="N27" s="179"/>
      <c r="O27" s="179"/>
      <c r="P27" s="179"/>
      <c r="Q27" s="179"/>
      <c r="R27" s="179"/>
      <c r="S27" s="179"/>
      <c r="T27" s="179"/>
      <c r="U27" s="179"/>
      <c r="V27" s="179"/>
    </row>
    <row r="28" spans="1:22" s="180" customFormat="1">
      <c r="A28" s="223" t="s">
        <v>281</v>
      </c>
      <c r="B28" s="130" t="s">
        <v>214</v>
      </c>
      <c r="C28" s="172">
        <f>H28*I28</f>
        <v>30000</v>
      </c>
      <c r="D28" s="172">
        <f t="shared" ref="D28:D29" si="16">H28*J28</f>
        <v>5000</v>
      </c>
      <c r="E28" s="172">
        <f t="shared" ref="E28" si="17">SUM(C28:D28)</f>
        <v>35000</v>
      </c>
      <c r="F28" s="172">
        <f t="shared" ref="F28:F29" si="18">H28*K28</f>
        <v>200</v>
      </c>
      <c r="G28" s="179"/>
      <c r="H28" s="168">
        <v>1</v>
      </c>
      <c r="I28" s="224">
        <v>30000</v>
      </c>
      <c r="J28" s="173">
        <v>5000</v>
      </c>
      <c r="K28" s="173">
        <v>200</v>
      </c>
      <c r="L28" s="129" t="s">
        <v>215</v>
      </c>
      <c r="M28" s="178"/>
      <c r="N28" s="179"/>
      <c r="O28" s="179"/>
      <c r="P28" s="179"/>
      <c r="Q28" s="179"/>
      <c r="R28" s="179"/>
      <c r="S28" s="179"/>
      <c r="T28" s="179"/>
      <c r="U28" s="179"/>
      <c r="V28" s="179"/>
    </row>
    <row r="29" spans="1:22" s="180" customFormat="1">
      <c r="B29" s="130" t="s">
        <v>216</v>
      </c>
      <c r="C29" s="172">
        <f>H29*I29</f>
        <v>10000</v>
      </c>
      <c r="D29" s="172">
        <f t="shared" si="16"/>
        <v>5500</v>
      </c>
      <c r="E29" s="172">
        <f t="shared" ref="E29" si="19">SUM(C29:D29)</f>
        <v>15500</v>
      </c>
      <c r="F29" s="172">
        <f t="shared" si="18"/>
        <v>200</v>
      </c>
      <c r="G29" s="179"/>
      <c r="H29" s="168">
        <v>1</v>
      </c>
      <c r="I29" s="173">
        <v>10000</v>
      </c>
      <c r="J29" s="173">
        <v>5500</v>
      </c>
      <c r="K29" s="173">
        <v>200</v>
      </c>
      <c r="L29" s="129" t="s">
        <v>217</v>
      </c>
      <c r="M29" s="178"/>
      <c r="N29" s="179"/>
      <c r="O29" s="179"/>
      <c r="P29" s="179"/>
      <c r="Q29" s="179"/>
      <c r="R29" s="179"/>
      <c r="S29" s="179"/>
      <c r="T29" s="179"/>
      <c r="U29" s="179"/>
      <c r="V29" s="179"/>
    </row>
    <row r="30" spans="1:22" s="180" customFormat="1">
      <c r="A30" s="223" t="s">
        <v>266</v>
      </c>
      <c r="B30" s="220" t="s">
        <v>259</v>
      </c>
      <c r="C30" s="222">
        <f>H30*I30</f>
        <v>4000</v>
      </c>
      <c r="D30" s="222">
        <f t="shared" ref="D30" si="20">H30*J30</f>
        <v>12000</v>
      </c>
      <c r="E30" s="222">
        <f t="shared" ref="E30" si="21">SUM(C30:D30)</f>
        <v>16000</v>
      </c>
      <c r="F30" s="222">
        <f t="shared" ref="F30" si="22">H30*K30</f>
        <v>1600</v>
      </c>
      <c r="G30" s="235"/>
      <c r="H30" s="236">
        <v>8</v>
      </c>
      <c r="I30" s="224">
        <v>500</v>
      </c>
      <c r="J30" s="224">
        <v>1500</v>
      </c>
      <c r="K30" s="224">
        <v>200</v>
      </c>
      <c r="L30" s="129" t="s">
        <v>262</v>
      </c>
      <c r="M30" s="178"/>
      <c r="N30" s="179"/>
      <c r="O30" s="179"/>
      <c r="P30" s="179"/>
      <c r="Q30" s="179"/>
      <c r="R30" s="179"/>
      <c r="S30" s="179"/>
      <c r="T30" s="179"/>
      <c r="U30" s="179"/>
      <c r="V30" s="179"/>
    </row>
    <row r="31" spans="1:22" s="180" customFormat="1" ht="15.75">
      <c r="B31" s="126" t="str">
        <f>CONCATENATE("Subtotal ",B27)</f>
        <v>Subtotal Standardization of Technical Analysis</v>
      </c>
      <c r="C31" s="177">
        <f>SUM(C28:C30)</f>
        <v>44000</v>
      </c>
      <c r="D31" s="177">
        <f t="shared" ref="D31:F31" si="23">SUM(D28:D30)</f>
        <v>22500</v>
      </c>
      <c r="E31" s="177">
        <f t="shared" si="23"/>
        <v>66500</v>
      </c>
      <c r="F31" s="177">
        <f t="shared" si="23"/>
        <v>2000</v>
      </c>
      <c r="G31" s="232">
        <f>E31/$E$86</f>
        <v>4.4333333333333336E-2</v>
      </c>
      <c r="H31" s="179"/>
      <c r="I31" s="179"/>
      <c r="J31" s="179"/>
      <c r="K31" s="179"/>
      <c r="L31" s="129"/>
      <c r="M31" s="178"/>
      <c r="N31" s="179"/>
      <c r="O31" s="179"/>
      <c r="P31" s="179"/>
      <c r="Q31" s="179"/>
      <c r="R31" s="179"/>
      <c r="S31" s="179"/>
      <c r="T31" s="179"/>
      <c r="U31" s="179"/>
      <c r="V31" s="179"/>
    </row>
    <row r="32" spans="1:22" s="180" customFormat="1">
      <c r="B32" s="198"/>
      <c r="L32" s="8"/>
      <c r="M32" s="181"/>
    </row>
    <row r="33" spans="1:25" s="180" customFormat="1">
      <c r="B33" s="198"/>
      <c r="C33" s="182"/>
      <c r="D33" s="182"/>
      <c r="E33" s="182"/>
      <c r="L33" s="8"/>
      <c r="M33" s="181"/>
    </row>
    <row r="34" spans="1:25" s="180" customFormat="1" ht="15.75">
      <c r="B34" s="134" t="s">
        <v>71</v>
      </c>
      <c r="C34" s="183"/>
      <c r="D34" s="183"/>
      <c r="E34" s="183"/>
      <c r="F34" s="184"/>
      <c r="G34" s="184"/>
      <c r="H34" s="184"/>
      <c r="I34" s="184"/>
      <c r="J34" s="184"/>
      <c r="K34" s="184"/>
      <c r="L34" s="135"/>
      <c r="M34" s="137"/>
      <c r="N34" s="184"/>
      <c r="O34" s="184"/>
      <c r="P34" s="184"/>
      <c r="Q34" s="184"/>
      <c r="R34" s="184"/>
      <c r="S34" s="184"/>
      <c r="T34" s="184"/>
      <c r="U34" s="184"/>
      <c r="V34" s="184"/>
      <c r="W34" s="184"/>
      <c r="X34" s="184"/>
      <c r="Y34" s="184"/>
    </row>
    <row r="35" spans="1:25" s="180" customFormat="1">
      <c r="B35" s="136" t="s">
        <v>189</v>
      </c>
      <c r="C35" s="183">
        <v>12000</v>
      </c>
      <c r="D35" s="183">
        <v>6000</v>
      </c>
      <c r="E35" s="183">
        <f t="shared" ref="E35:E39" si="24">SUM(C35:D35)</f>
        <v>18000</v>
      </c>
      <c r="F35" s="183">
        <v>3000</v>
      </c>
      <c r="G35" s="184"/>
      <c r="H35" s="184"/>
      <c r="I35" s="185"/>
      <c r="J35" s="185"/>
      <c r="K35" s="185"/>
      <c r="L35" s="135" t="s">
        <v>221</v>
      </c>
      <c r="M35" s="137"/>
      <c r="N35" s="184"/>
      <c r="O35" s="184"/>
      <c r="P35" s="184"/>
      <c r="Q35" s="184"/>
      <c r="R35" s="184"/>
      <c r="S35" s="184"/>
      <c r="T35" s="184"/>
      <c r="U35" s="184"/>
      <c r="V35" s="184"/>
      <c r="W35" s="184"/>
      <c r="X35" s="184"/>
      <c r="Y35" s="184"/>
    </row>
    <row r="36" spans="1:25" s="180" customFormat="1">
      <c r="B36" s="136" t="s">
        <v>203</v>
      </c>
      <c r="C36" s="183">
        <v>10000</v>
      </c>
      <c r="D36" s="183">
        <v>5000</v>
      </c>
      <c r="E36" s="183">
        <f t="shared" ref="E36" si="25">SUM(C36:D36)</f>
        <v>15000</v>
      </c>
      <c r="F36" s="183">
        <v>0</v>
      </c>
      <c r="G36" s="184"/>
      <c r="H36" s="184"/>
      <c r="I36" s="185"/>
      <c r="J36" s="185"/>
      <c r="K36" s="185"/>
      <c r="L36" s="135" t="s">
        <v>205</v>
      </c>
      <c r="M36" s="137"/>
      <c r="N36" s="184"/>
      <c r="O36" s="184"/>
      <c r="P36" s="184"/>
      <c r="Q36" s="184"/>
      <c r="R36" s="184"/>
      <c r="S36" s="184"/>
      <c r="T36" s="184"/>
      <c r="U36" s="184"/>
      <c r="V36" s="184"/>
      <c r="W36" s="184"/>
      <c r="X36" s="184"/>
      <c r="Y36" s="184"/>
    </row>
    <row r="37" spans="1:25" s="180" customFormat="1">
      <c r="B37" s="204" t="s">
        <v>194</v>
      </c>
      <c r="C37" s="205">
        <v>10000</v>
      </c>
      <c r="D37" s="205">
        <v>6000</v>
      </c>
      <c r="E37" s="205">
        <f t="shared" si="24"/>
        <v>16000</v>
      </c>
      <c r="F37" s="205">
        <v>0</v>
      </c>
      <c r="G37" s="184"/>
      <c r="H37" s="184"/>
      <c r="I37" s="185"/>
      <c r="J37" s="184"/>
      <c r="K37" s="184"/>
      <c r="L37" s="135" t="s">
        <v>193</v>
      </c>
      <c r="M37" s="137"/>
      <c r="N37" s="184"/>
      <c r="O37" s="184"/>
      <c r="P37" s="184"/>
      <c r="Q37" s="184"/>
      <c r="R37" s="184"/>
      <c r="S37" s="184"/>
      <c r="T37" s="184"/>
      <c r="U37" s="184"/>
      <c r="V37" s="184"/>
      <c r="W37" s="184"/>
      <c r="X37" s="184"/>
      <c r="Y37" s="184"/>
    </row>
    <row r="38" spans="1:25" s="180" customFormat="1">
      <c r="B38" s="136" t="s">
        <v>204</v>
      </c>
      <c r="C38" s="183">
        <v>15000</v>
      </c>
      <c r="D38" s="183">
        <v>6000</v>
      </c>
      <c r="E38" s="183">
        <f t="shared" ref="E38" si="26">SUM(C38:D38)</f>
        <v>21000</v>
      </c>
      <c r="F38" s="183">
        <v>0</v>
      </c>
      <c r="G38" s="184"/>
      <c r="H38" s="184"/>
      <c r="I38" s="185"/>
      <c r="J38" s="184"/>
      <c r="K38" s="184"/>
      <c r="L38" s="135" t="s">
        <v>218</v>
      </c>
      <c r="M38" s="137"/>
      <c r="N38" s="184"/>
      <c r="O38" s="184"/>
      <c r="P38" s="184"/>
      <c r="Q38" s="184"/>
      <c r="R38" s="184"/>
      <c r="S38" s="184"/>
      <c r="T38" s="184"/>
      <c r="U38" s="184"/>
      <c r="V38" s="184"/>
      <c r="W38" s="184"/>
      <c r="X38" s="184"/>
      <c r="Y38" s="184"/>
    </row>
    <row r="39" spans="1:25" s="180" customFormat="1">
      <c r="B39" s="136" t="s">
        <v>72</v>
      </c>
      <c r="C39" s="183">
        <v>10000</v>
      </c>
      <c r="D39" s="183">
        <v>15000</v>
      </c>
      <c r="E39" s="183">
        <f t="shared" si="24"/>
        <v>25000</v>
      </c>
      <c r="F39" s="183">
        <v>0</v>
      </c>
      <c r="G39" s="184"/>
      <c r="H39" s="184"/>
      <c r="I39" s="184"/>
      <c r="J39" s="184"/>
      <c r="K39" s="184"/>
      <c r="L39" s="135" t="s">
        <v>234</v>
      </c>
      <c r="M39" s="137"/>
      <c r="N39" s="184"/>
      <c r="O39" s="184"/>
      <c r="P39" s="184"/>
      <c r="Q39" s="184"/>
      <c r="R39" s="184"/>
      <c r="S39" s="184"/>
      <c r="T39" s="184"/>
      <c r="U39" s="184"/>
      <c r="V39" s="184"/>
      <c r="W39" s="184"/>
      <c r="X39" s="184"/>
      <c r="Y39" s="184"/>
    </row>
    <row r="40" spans="1:25" s="180" customFormat="1" ht="15.75">
      <c r="B40" s="134" t="str">
        <f>CONCATENATE("Subtotal ",B34)</f>
        <v>Subtotal Tool Development</v>
      </c>
      <c r="C40" s="186">
        <f>SUM(C35:C39)</f>
        <v>57000</v>
      </c>
      <c r="D40" s="186">
        <f>SUM(D35:D39)</f>
        <v>38000</v>
      </c>
      <c r="E40" s="186">
        <f>SUM(E35:E39)</f>
        <v>95000</v>
      </c>
      <c r="F40" s="186">
        <f>SUM(F35:F39)</f>
        <v>3000</v>
      </c>
      <c r="G40" s="233">
        <f>E40/$E$86</f>
        <v>6.3333333333333339E-2</v>
      </c>
      <c r="H40" s="184"/>
      <c r="I40" s="184"/>
      <c r="J40" s="184"/>
      <c r="K40" s="184"/>
      <c r="L40" s="135"/>
      <c r="M40" s="137"/>
      <c r="N40" s="184"/>
      <c r="O40" s="184"/>
      <c r="P40" s="184"/>
      <c r="Q40" s="184"/>
      <c r="R40" s="184"/>
      <c r="S40" s="184"/>
      <c r="T40" s="184"/>
      <c r="U40" s="184"/>
      <c r="V40" s="184"/>
      <c r="W40" s="184"/>
      <c r="X40" s="184"/>
      <c r="Y40" s="184"/>
    </row>
    <row r="41" spans="1:25" s="180" customFormat="1">
      <c r="B41" s="136"/>
      <c r="C41" s="183"/>
      <c r="D41" s="183"/>
      <c r="E41" s="183"/>
      <c r="F41" s="184"/>
      <c r="G41" s="184"/>
      <c r="H41" s="184"/>
      <c r="I41" s="184"/>
      <c r="J41" s="184"/>
      <c r="K41" s="184"/>
      <c r="L41" s="135"/>
      <c r="M41" s="137"/>
      <c r="N41" s="184"/>
      <c r="O41" s="184"/>
      <c r="P41" s="184"/>
      <c r="Q41" s="184"/>
      <c r="R41" s="184"/>
      <c r="S41" s="184"/>
      <c r="T41" s="184"/>
      <c r="U41" s="184"/>
      <c r="V41" s="184"/>
      <c r="W41" s="184"/>
      <c r="X41" s="184"/>
      <c r="Y41" s="184"/>
    </row>
    <row r="42" spans="1:25" s="180" customFormat="1">
      <c r="B42" s="136"/>
      <c r="C42" s="183"/>
      <c r="D42" s="183"/>
      <c r="E42" s="183"/>
      <c r="F42" s="184"/>
      <c r="G42" s="184"/>
      <c r="H42" s="184"/>
      <c r="I42" s="184"/>
      <c r="J42" s="184"/>
      <c r="K42" s="184"/>
      <c r="L42" s="135"/>
      <c r="M42" s="137"/>
      <c r="N42" s="184"/>
      <c r="O42" s="184"/>
      <c r="P42" s="184"/>
      <c r="Q42" s="184"/>
      <c r="R42" s="184"/>
      <c r="S42" s="184"/>
      <c r="T42" s="184"/>
      <c r="U42" s="184"/>
      <c r="V42" s="184"/>
      <c r="W42" s="184"/>
      <c r="X42" s="184"/>
      <c r="Y42" s="184"/>
    </row>
    <row r="43" spans="1:25" s="180" customFormat="1" ht="15.75">
      <c r="B43" s="134" t="s">
        <v>31</v>
      </c>
      <c r="C43" s="183"/>
      <c r="D43" s="183"/>
      <c r="E43" s="183"/>
      <c r="F43" s="184"/>
      <c r="G43" s="184"/>
      <c r="H43" s="184"/>
      <c r="I43" s="184"/>
      <c r="J43" s="184"/>
      <c r="K43" s="184"/>
      <c r="L43" s="135"/>
      <c r="M43" s="137"/>
      <c r="N43" s="184"/>
      <c r="O43" s="184"/>
      <c r="P43" s="184"/>
      <c r="Q43" s="184"/>
      <c r="R43" s="184"/>
      <c r="S43" s="184"/>
      <c r="T43" s="184"/>
      <c r="U43" s="184"/>
      <c r="V43" s="184"/>
      <c r="W43" s="184"/>
      <c r="X43" s="184"/>
      <c r="Y43" s="184"/>
    </row>
    <row r="44" spans="1:25" s="180" customFormat="1">
      <c r="B44" s="136" t="s">
        <v>186</v>
      </c>
      <c r="C44" s="183">
        <v>5000</v>
      </c>
      <c r="D44" s="183">
        <v>5000</v>
      </c>
      <c r="E44" s="183">
        <f t="shared" ref="E44:E49" si="27">SUM(C44:D44)</f>
        <v>10000</v>
      </c>
      <c r="F44" s="187">
        <f t="shared" ref="F44:F49" si="28">1/2*D44</f>
        <v>2500</v>
      </c>
      <c r="G44" s="184"/>
      <c r="H44" s="184"/>
      <c r="I44" s="137"/>
      <c r="J44" s="184"/>
      <c r="K44" s="184"/>
      <c r="L44" s="136" t="s">
        <v>207</v>
      </c>
      <c r="M44" s="137"/>
      <c r="N44" s="184"/>
      <c r="O44" s="184"/>
      <c r="P44" s="184"/>
      <c r="Q44" s="184"/>
      <c r="R44" s="184"/>
      <c r="S44" s="184"/>
      <c r="T44" s="184"/>
      <c r="U44" s="184"/>
      <c r="V44" s="184"/>
      <c r="W44" s="184"/>
      <c r="X44" s="184"/>
      <c r="Y44" s="184"/>
    </row>
    <row r="45" spans="1:25" s="180" customFormat="1">
      <c r="B45" s="136" t="s">
        <v>252</v>
      </c>
      <c r="C45" s="183">
        <v>75000</v>
      </c>
      <c r="D45" s="183">
        <v>10000</v>
      </c>
      <c r="E45" s="183">
        <f t="shared" si="27"/>
        <v>85000</v>
      </c>
      <c r="F45" s="187">
        <f t="shared" si="28"/>
        <v>5000</v>
      </c>
      <c r="G45" s="184"/>
      <c r="H45" s="184"/>
      <c r="I45" s="137"/>
      <c r="J45" s="184"/>
      <c r="K45" s="184"/>
      <c r="L45" s="136" t="s">
        <v>206</v>
      </c>
      <c r="M45" s="137"/>
      <c r="N45" s="184"/>
      <c r="O45" s="184"/>
      <c r="P45" s="184"/>
      <c r="Q45" s="184"/>
      <c r="R45" s="184"/>
      <c r="S45" s="184"/>
      <c r="T45" s="184"/>
      <c r="U45" s="184"/>
      <c r="V45" s="184"/>
      <c r="W45" s="184"/>
      <c r="X45" s="184"/>
      <c r="Y45" s="184"/>
    </row>
    <row r="46" spans="1:25" s="180" customFormat="1">
      <c r="B46" s="136" t="s">
        <v>192</v>
      </c>
      <c r="C46" s="183">
        <v>12000</v>
      </c>
      <c r="D46" s="183">
        <v>2000</v>
      </c>
      <c r="E46" s="183">
        <f t="shared" si="27"/>
        <v>14000</v>
      </c>
      <c r="F46" s="187">
        <f t="shared" si="28"/>
        <v>1000</v>
      </c>
      <c r="G46" s="184"/>
      <c r="H46" s="184"/>
      <c r="I46" s="137"/>
      <c r="J46" s="184"/>
      <c r="K46" s="184"/>
      <c r="L46" s="136" t="s">
        <v>223</v>
      </c>
      <c r="M46" s="137"/>
      <c r="N46" s="184"/>
      <c r="O46" s="184"/>
      <c r="P46" s="184"/>
      <c r="Q46" s="184"/>
      <c r="R46" s="184"/>
      <c r="S46" s="184"/>
      <c r="T46" s="184"/>
      <c r="U46" s="184"/>
      <c r="V46" s="184"/>
      <c r="W46" s="184"/>
      <c r="X46" s="184"/>
      <c r="Y46" s="184"/>
    </row>
    <row r="47" spans="1:25" s="180" customFormat="1">
      <c r="B47" s="136" t="s">
        <v>251</v>
      </c>
      <c r="C47" s="183">
        <v>10000</v>
      </c>
      <c r="D47" s="183">
        <v>5000</v>
      </c>
      <c r="E47" s="183">
        <f t="shared" si="27"/>
        <v>15000</v>
      </c>
      <c r="F47" s="187">
        <f t="shared" si="28"/>
        <v>2500</v>
      </c>
      <c r="G47" s="184"/>
      <c r="H47" s="184"/>
      <c r="I47" s="137"/>
      <c r="J47" s="184"/>
      <c r="K47" s="184"/>
      <c r="L47" s="136" t="s">
        <v>222</v>
      </c>
      <c r="M47" s="137"/>
      <c r="N47" s="184"/>
      <c r="O47" s="184"/>
      <c r="P47" s="184"/>
      <c r="Q47" s="184"/>
      <c r="R47" s="184"/>
      <c r="S47" s="184"/>
      <c r="T47" s="184"/>
      <c r="U47" s="184"/>
      <c r="V47" s="184"/>
      <c r="W47" s="184"/>
      <c r="X47" s="184"/>
      <c r="Y47" s="184"/>
    </row>
    <row r="48" spans="1:25" s="180" customFormat="1">
      <c r="A48" s="223" t="s">
        <v>280</v>
      </c>
      <c r="B48" s="220" t="s">
        <v>19</v>
      </c>
      <c r="C48" s="222">
        <v>25000</v>
      </c>
      <c r="D48" s="222">
        <v>2900</v>
      </c>
      <c r="E48" s="222">
        <f t="shared" si="27"/>
        <v>27900</v>
      </c>
      <c r="F48" s="237">
        <f t="shared" si="28"/>
        <v>1450</v>
      </c>
      <c r="G48" s="184"/>
      <c r="H48" s="184"/>
      <c r="I48" s="137"/>
      <c r="J48" s="184"/>
      <c r="K48" s="184"/>
      <c r="L48" s="136" t="s">
        <v>258</v>
      </c>
      <c r="M48" s="137"/>
      <c r="N48" s="184"/>
      <c r="O48" s="184"/>
      <c r="P48" s="184"/>
      <c r="Q48" s="184"/>
      <c r="R48" s="184"/>
      <c r="S48" s="184"/>
      <c r="T48" s="184"/>
      <c r="U48" s="184"/>
      <c r="V48" s="184"/>
      <c r="W48" s="184"/>
      <c r="X48" s="184"/>
      <c r="Y48" s="184"/>
    </row>
    <row r="49" spans="1:25" s="180" customFormat="1">
      <c r="B49" s="204" t="s">
        <v>209</v>
      </c>
      <c r="C49" s="205">
        <v>0</v>
      </c>
      <c r="D49" s="205">
        <v>0</v>
      </c>
      <c r="E49" s="205">
        <f t="shared" si="27"/>
        <v>0</v>
      </c>
      <c r="F49" s="221">
        <f t="shared" si="28"/>
        <v>0</v>
      </c>
      <c r="G49" s="184"/>
      <c r="H49" s="184"/>
      <c r="I49" s="137"/>
      <c r="J49" s="184"/>
      <c r="K49" s="184"/>
      <c r="L49" s="136" t="s">
        <v>278</v>
      </c>
      <c r="M49" s="137"/>
      <c r="N49" s="184"/>
      <c r="O49" s="184"/>
      <c r="P49" s="184"/>
      <c r="Q49" s="184"/>
      <c r="R49" s="184"/>
      <c r="S49" s="184"/>
      <c r="T49" s="184"/>
      <c r="U49" s="184"/>
      <c r="V49" s="184"/>
      <c r="W49" s="184"/>
      <c r="X49" s="184"/>
      <c r="Y49" s="184"/>
    </row>
    <row r="50" spans="1:25" s="180" customFormat="1" ht="15.75">
      <c r="B50" s="134" t="str">
        <f>CONCATENATE("Subtotal ",B43)</f>
        <v>Subtotal Research Projects &amp; Data Development</v>
      </c>
      <c r="C50" s="186">
        <f>SUM(C44:C49)</f>
        <v>127000</v>
      </c>
      <c r="D50" s="186">
        <f>SUM(D44:D49)</f>
        <v>24900</v>
      </c>
      <c r="E50" s="186">
        <f>SUM(E44:E49)</f>
        <v>151900</v>
      </c>
      <c r="F50" s="186">
        <f>SUM(F44:F49)</f>
        <v>12450</v>
      </c>
      <c r="G50" s="233">
        <f>E50/$E$86</f>
        <v>0.10126666666666667</v>
      </c>
      <c r="H50" s="184"/>
      <c r="I50" s="184"/>
      <c r="J50" s="184"/>
      <c r="K50" s="184"/>
      <c r="L50" s="136"/>
      <c r="M50" s="137"/>
      <c r="N50" s="184"/>
      <c r="O50" s="184"/>
      <c r="P50" s="184"/>
      <c r="Q50" s="184"/>
      <c r="R50" s="184"/>
      <c r="S50" s="184"/>
      <c r="T50" s="184"/>
      <c r="U50" s="184"/>
      <c r="V50" s="184"/>
      <c r="W50" s="184"/>
      <c r="X50" s="184"/>
      <c r="Y50" s="184"/>
    </row>
    <row r="51" spans="1:25" s="180" customFormat="1">
      <c r="B51" s="199"/>
      <c r="C51" s="183"/>
      <c r="D51" s="183"/>
      <c r="E51" s="183"/>
      <c r="F51" s="184"/>
      <c r="G51" s="184"/>
      <c r="H51" s="184"/>
      <c r="I51" s="184"/>
      <c r="J51" s="184"/>
      <c r="K51" s="184"/>
      <c r="L51" s="136"/>
      <c r="M51" s="137"/>
      <c r="N51" s="184"/>
      <c r="O51" s="184"/>
      <c r="P51" s="184"/>
      <c r="Q51" s="184"/>
      <c r="R51" s="184"/>
      <c r="S51" s="184"/>
      <c r="T51" s="184"/>
      <c r="U51" s="184"/>
      <c r="V51" s="184"/>
      <c r="W51" s="184"/>
      <c r="X51" s="184"/>
      <c r="Y51" s="184"/>
    </row>
    <row r="52" spans="1:25" s="180" customFormat="1">
      <c r="B52" s="136"/>
      <c r="C52" s="183"/>
      <c r="D52" s="183"/>
      <c r="E52" s="183"/>
      <c r="F52" s="184"/>
      <c r="G52" s="184"/>
      <c r="H52" s="184"/>
      <c r="I52" s="184"/>
      <c r="J52" s="184"/>
      <c r="K52" s="184"/>
      <c r="L52" s="136"/>
      <c r="M52" s="137"/>
      <c r="N52" s="184"/>
      <c r="O52" s="184"/>
      <c r="P52" s="184"/>
      <c r="Q52" s="184"/>
      <c r="R52" s="184"/>
      <c r="S52" s="184"/>
      <c r="T52" s="184"/>
      <c r="U52" s="184"/>
      <c r="V52" s="184"/>
      <c r="W52" s="184"/>
      <c r="X52" s="184"/>
      <c r="Y52" s="184"/>
    </row>
    <row r="53" spans="1:25" s="180" customFormat="1" ht="15.75">
      <c r="B53" s="134" t="s">
        <v>78</v>
      </c>
      <c r="C53" s="183"/>
      <c r="D53" s="183"/>
      <c r="E53" s="183"/>
      <c r="F53" s="184"/>
      <c r="G53" s="184"/>
      <c r="H53" s="184"/>
      <c r="I53" s="184"/>
      <c r="J53" s="184"/>
      <c r="K53" s="184"/>
      <c r="L53" s="136"/>
      <c r="M53" s="137"/>
      <c r="N53" s="184"/>
      <c r="O53" s="184"/>
      <c r="P53" s="184"/>
      <c r="Q53" s="184"/>
      <c r="R53" s="184"/>
      <c r="S53" s="184"/>
      <c r="T53" s="184"/>
      <c r="U53" s="184"/>
      <c r="V53" s="184"/>
      <c r="W53" s="184"/>
      <c r="X53" s="184"/>
      <c r="Y53" s="184"/>
    </row>
    <row r="54" spans="1:25" s="180" customFormat="1">
      <c r="B54" s="136" t="s">
        <v>208</v>
      </c>
      <c r="C54" s="183">
        <v>20000</v>
      </c>
      <c r="D54" s="183">
        <v>5000</v>
      </c>
      <c r="E54" s="183">
        <f t="shared" ref="E54:E60" si="29">SUM(C54:D54)</f>
        <v>25000</v>
      </c>
      <c r="F54" s="183">
        <v>2000</v>
      </c>
      <c r="G54" s="184"/>
      <c r="H54" s="184"/>
      <c r="I54" s="184"/>
      <c r="J54" s="184"/>
      <c r="K54" s="184"/>
      <c r="L54" s="136" t="s">
        <v>250</v>
      </c>
      <c r="M54" s="137"/>
      <c r="N54" s="184"/>
      <c r="O54" s="184"/>
      <c r="P54" s="184"/>
      <c r="Q54" s="184"/>
      <c r="R54" s="184"/>
      <c r="S54" s="184"/>
      <c r="T54" s="184"/>
      <c r="U54" s="184"/>
      <c r="V54" s="184"/>
      <c r="W54" s="184"/>
      <c r="X54" s="184"/>
      <c r="Y54" s="184"/>
    </row>
    <row r="55" spans="1:25" s="180" customFormat="1">
      <c r="B55" s="136" t="s">
        <v>158</v>
      </c>
      <c r="C55" s="183">
        <v>0</v>
      </c>
      <c r="D55" s="183">
        <v>0</v>
      </c>
      <c r="E55" s="183">
        <f t="shared" si="29"/>
        <v>0</v>
      </c>
      <c r="F55" s="183">
        <v>2000</v>
      </c>
      <c r="G55" s="184"/>
      <c r="H55" s="184"/>
      <c r="I55" s="188"/>
      <c r="J55" s="188"/>
      <c r="K55" s="188"/>
      <c r="L55" s="136" t="s">
        <v>115</v>
      </c>
      <c r="M55" s="137"/>
      <c r="N55" s="184"/>
      <c r="O55" s="184"/>
      <c r="P55" s="184"/>
      <c r="Q55" s="184"/>
      <c r="R55" s="184"/>
      <c r="S55" s="184"/>
      <c r="T55" s="184"/>
      <c r="U55" s="184"/>
      <c r="V55" s="184"/>
      <c r="W55" s="184"/>
      <c r="X55" s="184"/>
      <c r="Y55" s="184"/>
    </row>
    <row r="56" spans="1:25" s="180" customFormat="1">
      <c r="B56" s="136" t="s">
        <v>79</v>
      </c>
      <c r="C56" s="183">
        <v>0</v>
      </c>
      <c r="D56" s="183">
        <v>12000</v>
      </c>
      <c r="E56" s="183">
        <f t="shared" si="29"/>
        <v>12000</v>
      </c>
      <c r="F56" s="183">
        <v>2000</v>
      </c>
      <c r="G56" s="184"/>
      <c r="H56" s="184"/>
      <c r="I56" s="184"/>
      <c r="J56" s="184"/>
      <c r="K56" s="184"/>
      <c r="L56" s="136" t="s">
        <v>116</v>
      </c>
      <c r="M56" s="137"/>
      <c r="N56" s="184"/>
      <c r="O56" s="184"/>
      <c r="P56" s="184"/>
      <c r="Q56" s="184"/>
      <c r="R56" s="184"/>
      <c r="S56" s="184"/>
      <c r="T56" s="184"/>
      <c r="U56" s="184"/>
      <c r="V56" s="184"/>
      <c r="W56" s="184"/>
      <c r="X56" s="184"/>
      <c r="Y56" s="184"/>
    </row>
    <row r="57" spans="1:25" s="180" customFormat="1">
      <c r="B57" s="220" t="s">
        <v>275</v>
      </c>
      <c r="C57" s="183">
        <v>0</v>
      </c>
      <c r="D57" s="183">
        <v>24000</v>
      </c>
      <c r="E57" s="183">
        <f t="shared" si="29"/>
        <v>24000</v>
      </c>
      <c r="F57" s="183">
        <v>2000</v>
      </c>
      <c r="G57" s="184"/>
      <c r="H57" s="184"/>
      <c r="I57" s="184"/>
      <c r="J57" s="184"/>
      <c r="K57" s="184"/>
      <c r="L57" s="136" t="s">
        <v>276</v>
      </c>
      <c r="M57" s="137"/>
      <c r="N57" s="184"/>
      <c r="O57" s="184"/>
      <c r="P57" s="184"/>
      <c r="Q57" s="184"/>
      <c r="R57" s="184"/>
      <c r="S57" s="184"/>
      <c r="T57" s="184"/>
      <c r="U57" s="184"/>
      <c r="V57" s="184"/>
      <c r="W57" s="184"/>
      <c r="X57" s="184"/>
      <c r="Y57" s="184"/>
    </row>
    <row r="58" spans="1:25" s="180" customFormat="1">
      <c r="B58" s="136" t="s">
        <v>0</v>
      </c>
      <c r="C58" s="183">
        <v>0</v>
      </c>
      <c r="D58" s="183">
        <f>40*150</f>
        <v>6000</v>
      </c>
      <c r="E58" s="183">
        <f t="shared" si="29"/>
        <v>6000</v>
      </c>
      <c r="F58" s="183">
        <v>4000</v>
      </c>
      <c r="G58" s="184"/>
      <c r="H58" s="184"/>
      <c r="I58" s="184"/>
      <c r="J58" s="184"/>
      <c r="K58" s="184"/>
      <c r="L58" s="136" t="s">
        <v>224</v>
      </c>
      <c r="M58" s="137"/>
      <c r="N58" s="184"/>
      <c r="O58" s="184"/>
      <c r="P58" s="184"/>
      <c r="Q58" s="184"/>
      <c r="R58" s="184"/>
      <c r="S58" s="184"/>
      <c r="T58" s="184"/>
      <c r="U58" s="184"/>
      <c r="V58" s="184"/>
      <c r="W58" s="184"/>
      <c r="X58" s="184"/>
      <c r="Y58" s="184"/>
    </row>
    <row r="59" spans="1:25" s="180" customFormat="1">
      <c r="A59" s="223" t="s">
        <v>265</v>
      </c>
      <c r="B59" s="220" t="s">
        <v>260</v>
      </c>
      <c r="C59" s="183">
        <v>0</v>
      </c>
      <c r="D59" s="183">
        <v>10000</v>
      </c>
      <c r="E59" s="183">
        <f t="shared" ref="E59" si="30">SUM(C59:D59)</f>
        <v>10000</v>
      </c>
      <c r="F59" s="222">
        <v>2000</v>
      </c>
      <c r="G59" s="184"/>
      <c r="H59" s="184"/>
      <c r="I59" s="184"/>
      <c r="J59" s="184"/>
      <c r="K59" s="184"/>
      <c r="L59" s="136" t="s">
        <v>261</v>
      </c>
      <c r="M59" s="137"/>
      <c r="N59" s="184"/>
      <c r="O59" s="184"/>
      <c r="P59" s="184"/>
      <c r="Q59" s="184"/>
      <c r="R59" s="184"/>
      <c r="S59" s="184"/>
      <c r="T59" s="184"/>
      <c r="U59" s="184"/>
      <c r="V59" s="184"/>
      <c r="W59" s="184"/>
      <c r="X59" s="184"/>
      <c r="Y59" s="184"/>
    </row>
    <row r="60" spans="1:25" s="180" customFormat="1">
      <c r="B60" s="136" t="s">
        <v>19</v>
      </c>
      <c r="C60" s="183">
        <v>0</v>
      </c>
      <c r="D60" s="183">
        <v>10000</v>
      </c>
      <c r="E60" s="183">
        <f t="shared" si="29"/>
        <v>10000</v>
      </c>
      <c r="F60" s="183">
        <v>2000</v>
      </c>
      <c r="G60" s="184"/>
      <c r="H60" s="184"/>
      <c r="I60" s="184"/>
      <c r="J60" s="184"/>
      <c r="K60" s="184"/>
      <c r="L60" s="136" t="s">
        <v>225</v>
      </c>
      <c r="M60" s="137"/>
      <c r="N60" s="184"/>
      <c r="O60" s="184"/>
      <c r="P60" s="184"/>
      <c r="Q60" s="184"/>
      <c r="R60" s="184"/>
      <c r="S60" s="184"/>
      <c r="T60" s="184"/>
      <c r="U60" s="184"/>
      <c r="V60" s="184"/>
      <c r="W60" s="184"/>
      <c r="X60" s="184"/>
      <c r="Y60" s="184"/>
    </row>
    <row r="61" spans="1:25" s="180" customFormat="1" ht="15.75">
      <c r="B61" s="134" t="str">
        <f>CONCATENATE("Subtotal ",B53)</f>
        <v>Subtotal Regional Coordination</v>
      </c>
      <c r="C61" s="186">
        <f>SUM(C54:C60)</f>
        <v>20000</v>
      </c>
      <c r="D61" s="186">
        <f t="shared" ref="D61:F61" si="31">SUM(D54:D60)</f>
        <v>67000</v>
      </c>
      <c r="E61" s="186">
        <f t="shared" si="31"/>
        <v>87000</v>
      </c>
      <c r="F61" s="186">
        <f t="shared" si="31"/>
        <v>16000</v>
      </c>
      <c r="G61" s="233">
        <f>E61/$E$86</f>
        <v>5.8000000000000003E-2</v>
      </c>
      <c r="H61" s="184"/>
      <c r="I61" s="184"/>
      <c r="J61" s="184"/>
      <c r="K61" s="184"/>
      <c r="L61" s="136"/>
      <c r="M61" s="137"/>
      <c r="N61" s="184"/>
      <c r="O61" s="184"/>
      <c r="P61" s="184"/>
      <c r="Q61" s="184"/>
      <c r="R61" s="184"/>
      <c r="S61" s="184"/>
      <c r="T61" s="184"/>
      <c r="U61" s="184"/>
      <c r="V61" s="184"/>
      <c r="W61" s="184"/>
      <c r="X61" s="184"/>
      <c r="Y61" s="184"/>
    </row>
    <row r="62" spans="1:25" s="180" customFormat="1">
      <c r="B62" s="199"/>
      <c r="C62" s="183"/>
      <c r="D62" s="183"/>
      <c r="E62" s="183"/>
      <c r="F62" s="184"/>
      <c r="G62" s="184"/>
      <c r="H62" s="184"/>
      <c r="I62" s="184"/>
      <c r="J62" s="184"/>
      <c r="K62" s="184"/>
      <c r="L62" s="136"/>
      <c r="M62" s="137"/>
      <c r="N62" s="184"/>
      <c r="O62" s="184"/>
      <c r="P62" s="184"/>
      <c r="Q62" s="184"/>
      <c r="R62" s="184"/>
      <c r="S62" s="184"/>
      <c r="T62" s="184"/>
      <c r="U62" s="184"/>
      <c r="V62" s="184"/>
      <c r="W62" s="184"/>
      <c r="X62" s="184"/>
      <c r="Y62" s="184"/>
    </row>
    <row r="63" spans="1:25" s="180" customFormat="1">
      <c r="B63" s="1"/>
      <c r="C63" s="182"/>
      <c r="D63" s="182"/>
      <c r="E63" s="182"/>
      <c r="L63" s="1"/>
      <c r="M63" s="181"/>
    </row>
    <row r="64" spans="1:25" s="180" customFormat="1" ht="15.75">
      <c r="B64" s="132" t="s">
        <v>52</v>
      </c>
      <c r="C64" s="189"/>
      <c r="D64" s="189"/>
      <c r="E64" s="189"/>
      <c r="F64" s="190"/>
      <c r="G64" s="190"/>
      <c r="H64" s="190"/>
      <c r="I64" s="190"/>
      <c r="J64" s="190"/>
      <c r="K64" s="190"/>
      <c r="L64" s="133"/>
      <c r="M64" s="191"/>
      <c r="N64" s="190"/>
      <c r="O64" s="190"/>
      <c r="P64" s="190"/>
      <c r="Q64" s="190"/>
      <c r="R64" s="190"/>
      <c r="S64" s="190"/>
      <c r="T64" s="190"/>
      <c r="U64" s="190"/>
      <c r="V64" s="190"/>
      <c r="W64" s="190"/>
      <c r="X64" s="190"/>
      <c r="Y64" s="190"/>
    </row>
    <row r="65" spans="1:25" s="180" customFormat="1">
      <c r="A65" s="223" t="s">
        <v>264</v>
      </c>
      <c r="B65" s="133" t="s">
        <v>81</v>
      </c>
      <c r="C65" s="189">
        <v>0</v>
      </c>
      <c r="D65" s="189">
        <v>0</v>
      </c>
      <c r="E65" s="189">
        <f>SUM(C65:D65)</f>
        <v>0</v>
      </c>
      <c r="F65" s="222">
        <v>20000</v>
      </c>
      <c r="G65" s="190"/>
      <c r="H65" s="190"/>
      <c r="I65" s="190"/>
      <c r="J65" s="190"/>
      <c r="K65" s="190"/>
      <c r="L65" s="133" t="s">
        <v>226</v>
      </c>
      <c r="M65" s="191"/>
      <c r="N65" s="190"/>
      <c r="O65" s="190"/>
      <c r="P65" s="190"/>
      <c r="Q65" s="190"/>
      <c r="R65" s="190"/>
      <c r="S65" s="190"/>
      <c r="T65" s="190"/>
      <c r="U65" s="190"/>
      <c r="V65" s="190"/>
      <c r="W65" s="190"/>
      <c r="X65" s="190"/>
      <c r="Y65" s="190"/>
    </row>
    <row r="66" spans="1:25" s="180" customFormat="1">
      <c r="A66" s="223" t="s">
        <v>265</v>
      </c>
      <c r="B66" s="133" t="s">
        <v>191</v>
      </c>
      <c r="C66" s="189">
        <v>0</v>
      </c>
      <c r="D66" s="189">
        <v>0</v>
      </c>
      <c r="E66" s="189">
        <f>SUM(C66:D66)</f>
        <v>0</v>
      </c>
      <c r="F66" s="222">
        <v>25000</v>
      </c>
      <c r="G66" s="190"/>
      <c r="H66" s="190"/>
      <c r="I66" s="190"/>
      <c r="J66" s="190"/>
      <c r="K66" s="190"/>
      <c r="L66" s="133" t="s">
        <v>190</v>
      </c>
      <c r="M66" s="191"/>
      <c r="N66" s="190"/>
      <c r="O66" s="190"/>
      <c r="P66" s="190"/>
      <c r="Q66" s="190"/>
      <c r="R66" s="190"/>
      <c r="S66" s="190"/>
      <c r="T66" s="190"/>
      <c r="U66" s="190"/>
      <c r="V66" s="190"/>
      <c r="W66" s="190"/>
      <c r="X66" s="190"/>
      <c r="Y66" s="190"/>
    </row>
    <row r="67" spans="1:25" s="180" customFormat="1">
      <c r="B67" s="133" t="s">
        <v>80</v>
      </c>
      <c r="C67" s="189">
        <v>0</v>
      </c>
      <c r="D67" s="189">
        <v>0</v>
      </c>
      <c r="E67" s="189">
        <f>SUM(C67:D67)</f>
        <v>0</v>
      </c>
      <c r="F67" s="189">
        <v>12000</v>
      </c>
      <c r="G67" s="190" t="s">
        <v>267</v>
      </c>
      <c r="H67" s="190"/>
      <c r="I67" s="190"/>
      <c r="J67" s="190"/>
      <c r="K67" s="190"/>
      <c r="L67" s="133"/>
      <c r="M67" s="191"/>
      <c r="N67" s="190"/>
      <c r="O67" s="190"/>
      <c r="P67" s="190"/>
      <c r="Q67" s="190"/>
      <c r="R67" s="190"/>
      <c r="S67" s="190"/>
      <c r="T67" s="190"/>
      <c r="U67" s="190"/>
      <c r="V67" s="190"/>
      <c r="W67" s="190"/>
      <c r="X67" s="190"/>
      <c r="Y67" s="190"/>
    </row>
    <row r="68" spans="1:25" s="180" customFormat="1">
      <c r="B68" s="133" t="s">
        <v>263</v>
      </c>
      <c r="C68" s="189">
        <v>0</v>
      </c>
      <c r="D68" s="189">
        <v>0</v>
      </c>
      <c r="E68" s="189">
        <f>SUM(C68:D68)</f>
        <v>0</v>
      </c>
      <c r="F68" s="189">
        <v>8000</v>
      </c>
      <c r="G68" s="190"/>
      <c r="H68" s="190"/>
      <c r="I68" s="192"/>
      <c r="J68" s="192"/>
      <c r="K68" s="192"/>
      <c r="L68" s="133" t="s">
        <v>274</v>
      </c>
      <c r="M68" s="191"/>
      <c r="N68" s="190"/>
      <c r="O68" s="190"/>
      <c r="P68" s="190"/>
      <c r="Q68" s="190"/>
      <c r="R68" s="190"/>
      <c r="S68" s="190"/>
      <c r="T68" s="190"/>
      <c r="U68" s="190"/>
      <c r="V68" s="190"/>
      <c r="W68" s="190"/>
      <c r="X68" s="190"/>
      <c r="Y68" s="190"/>
    </row>
    <row r="69" spans="1:25" s="180" customFormat="1" ht="15.75">
      <c r="B69" s="132" t="str">
        <f>CONCATENATE("Subtotal ",B64)</f>
        <v xml:space="preserve">Subtotal Website, Database support, Conservation Tracking </v>
      </c>
      <c r="C69" s="193">
        <f>SUM(C65:C68)</f>
        <v>0</v>
      </c>
      <c r="D69" s="193">
        <f>SUM(D65:D68)</f>
        <v>0</v>
      </c>
      <c r="E69" s="193">
        <f>SUM(E65:E68)</f>
        <v>0</v>
      </c>
      <c r="F69" s="193">
        <f>SUM(F65:F68)</f>
        <v>65000</v>
      </c>
      <c r="G69" s="234">
        <f>E69/$E$86</f>
        <v>0</v>
      </c>
      <c r="H69" s="190"/>
      <c r="I69" s="190"/>
      <c r="J69" s="190"/>
      <c r="K69" s="190"/>
      <c r="L69" s="133"/>
      <c r="M69" s="191"/>
      <c r="N69" s="190"/>
      <c r="O69" s="190"/>
      <c r="P69" s="190"/>
      <c r="Q69" s="190"/>
      <c r="R69" s="190"/>
      <c r="S69" s="190"/>
      <c r="T69" s="190"/>
      <c r="U69" s="190"/>
      <c r="V69" s="190"/>
      <c r="W69" s="190"/>
      <c r="X69" s="190"/>
      <c r="Y69" s="190"/>
    </row>
    <row r="70" spans="1:25" s="180" customFormat="1" ht="15.75">
      <c r="B70" s="132"/>
      <c r="C70" s="189"/>
      <c r="D70" s="189"/>
      <c r="E70" s="189"/>
      <c r="F70" s="189"/>
      <c r="G70" s="190"/>
      <c r="H70" s="190"/>
      <c r="I70" s="190"/>
      <c r="J70" s="190"/>
      <c r="K70" s="190"/>
      <c r="L70" s="133"/>
      <c r="M70" s="191"/>
      <c r="N70" s="190"/>
      <c r="O70" s="190"/>
      <c r="P70" s="190"/>
      <c r="Q70" s="190"/>
      <c r="R70" s="190"/>
      <c r="S70" s="190"/>
      <c r="T70" s="190"/>
      <c r="U70" s="190"/>
      <c r="V70" s="190"/>
      <c r="W70" s="190"/>
      <c r="X70" s="190"/>
      <c r="Y70" s="190"/>
    </row>
    <row r="71" spans="1:25" s="180" customFormat="1">
      <c r="B71" s="133"/>
      <c r="C71" s="189"/>
      <c r="D71" s="189"/>
      <c r="E71" s="189"/>
      <c r="F71" s="189"/>
      <c r="G71" s="190"/>
      <c r="H71" s="190"/>
      <c r="I71" s="190"/>
      <c r="J71" s="190"/>
      <c r="K71" s="190"/>
      <c r="L71" s="133"/>
      <c r="M71" s="191"/>
      <c r="N71" s="190"/>
      <c r="O71" s="190"/>
      <c r="P71" s="190"/>
      <c r="Q71" s="190"/>
      <c r="R71" s="190"/>
      <c r="S71" s="190"/>
      <c r="T71" s="190"/>
      <c r="U71" s="190"/>
      <c r="V71" s="190"/>
      <c r="W71" s="190"/>
      <c r="X71" s="190"/>
      <c r="Y71" s="190"/>
    </row>
    <row r="72" spans="1:25" s="180" customFormat="1" ht="15.75">
      <c r="B72" s="132" t="s">
        <v>22</v>
      </c>
      <c r="C72" s="189"/>
      <c r="D72" s="189"/>
      <c r="E72" s="189"/>
      <c r="F72" s="189"/>
      <c r="G72" s="190"/>
      <c r="H72" s="190"/>
      <c r="I72" s="190"/>
      <c r="J72" s="190"/>
      <c r="K72" s="190"/>
      <c r="L72" s="133"/>
      <c r="M72" s="191"/>
      <c r="N72" s="190"/>
      <c r="O72" s="190"/>
      <c r="P72" s="190"/>
      <c r="Q72" s="190"/>
      <c r="R72" s="190"/>
      <c r="S72" s="190"/>
      <c r="T72" s="190"/>
      <c r="U72" s="190"/>
      <c r="V72" s="190"/>
      <c r="W72" s="190"/>
      <c r="X72" s="190"/>
      <c r="Y72" s="190"/>
    </row>
    <row r="73" spans="1:25" s="180" customFormat="1">
      <c r="B73" s="133" t="s">
        <v>246</v>
      </c>
      <c r="C73" s="189">
        <v>24000</v>
      </c>
      <c r="D73" s="189">
        <v>0</v>
      </c>
      <c r="E73" s="189">
        <f>SUM(C73:D73)</f>
        <v>24000</v>
      </c>
      <c r="F73" s="189">
        <v>7000</v>
      </c>
      <c r="G73" s="190"/>
      <c r="H73" s="190"/>
      <c r="I73" s="190"/>
      <c r="J73" s="190"/>
      <c r="K73" s="190"/>
      <c r="L73" s="200" t="s">
        <v>134</v>
      </c>
      <c r="M73" s="191"/>
      <c r="N73" s="190"/>
      <c r="O73" s="190"/>
      <c r="P73" s="190"/>
      <c r="Q73" s="190"/>
      <c r="R73" s="190"/>
      <c r="S73" s="190"/>
      <c r="T73" s="190"/>
      <c r="U73" s="190"/>
      <c r="V73" s="190"/>
      <c r="W73" s="190"/>
      <c r="X73" s="190"/>
      <c r="Y73" s="190"/>
    </row>
    <row r="74" spans="1:25" s="180" customFormat="1">
      <c r="B74" s="133" t="s">
        <v>21</v>
      </c>
      <c r="C74" s="189">
        <v>150000</v>
      </c>
      <c r="D74" s="189">
        <v>0</v>
      </c>
      <c r="E74" s="189">
        <f>SUM(C74:D74)</f>
        <v>150000</v>
      </c>
      <c r="F74" s="189">
        <v>0</v>
      </c>
      <c r="G74" s="190"/>
      <c r="H74" s="190"/>
      <c r="I74" s="190"/>
      <c r="J74" s="190"/>
      <c r="K74" s="190"/>
      <c r="L74" s="133" t="s">
        <v>187</v>
      </c>
      <c r="M74" s="191"/>
      <c r="N74" s="190"/>
      <c r="O74" s="190"/>
      <c r="P74" s="190"/>
      <c r="Q74" s="190"/>
      <c r="R74" s="190"/>
      <c r="S74" s="190"/>
      <c r="T74" s="190"/>
      <c r="U74" s="190"/>
      <c r="V74" s="190"/>
      <c r="W74" s="190"/>
      <c r="X74" s="190"/>
      <c r="Y74" s="190"/>
    </row>
    <row r="75" spans="1:25" s="180" customFormat="1" ht="15.75">
      <c r="B75" s="132" t="str">
        <f>CONCATENATE("Subtotal ",B72)</f>
        <v>Subtotal RTF Member Support &amp; Administration</v>
      </c>
      <c r="C75" s="193">
        <f>SUM(C73:C74)</f>
        <v>174000</v>
      </c>
      <c r="D75" s="193">
        <f>SUM(D73:D74)</f>
        <v>0</v>
      </c>
      <c r="E75" s="193">
        <f>SUM(E73:E74)</f>
        <v>174000</v>
      </c>
      <c r="F75" s="193">
        <f>SUM(F73:F74)</f>
        <v>7000</v>
      </c>
      <c r="G75" s="234">
        <f>E75/$E$86</f>
        <v>0.11600000000000001</v>
      </c>
      <c r="H75" s="190"/>
      <c r="I75" s="190"/>
      <c r="J75" s="190"/>
      <c r="K75" s="190"/>
      <c r="L75" s="200"/>
      <c r="M75" s="191"/>
      <c r="N75" s="190"/>
      <c r="O75" s="190"/>
      <c r="P75" s="190"/>
      <c r="Q75" s="190"/>
      <c r="R75" s="190"/>
      <c r="S75" s="190"/>
      <c r="T75" s="190"/>
      <c r="U75" s="190"/>
      <c r="V75" s="190"/>
      <c r="W75" s="190"/>
      <c r="X75" s="190"/>
      <c r="Y75" s="190"/>
    </row>
    <row r="76" spans="1:25" s="180" customFormat="1">
      <c r="B76" s="200"/>
      <c r="C76" s="189"/>
      <c r="D76" s="189"/>
      <c r="E76" s="189"/>
      <c r="F76" s="189"/>
      <c r="G76" s="190"/>
      <c r="H76" s="190"/>
      <c r="I76" s="190"/>
      <c r="J76" s="190"/>
      <c r="K76" s="190"/>
      <c r="L76" s="200"/>
      <c r="M76" s="191"/>
      <c r="N76" s="190"/>
      <c r="O76" s="190"/>
      <c r="P76" s="190"/>
      <c r="Q76" s="190"/>
      <c r="R76" s="190"/>
      <c r="S76" s="190"/>
      <c r="T76" s="190"/>
      <c r="U76" s="190"/>
      <c r="V76" s="190"/>
      <c r="W76" s="190"/>
      <c r="X76" s="190"/>
      <c r="Y76" s="190"/>
    </row>
    <row r="77" spans="1:25" s="180" customFormat="1">
      <c r="B77" s="200"/>
      <c r="C77" s="189"/>
      <c r="D77" s="189"/>
      <c r="E77" s="189"/>
      <c r="F77" s="189"/>
      <c r="G77" s="190"/>
      <c r="H77" s="190"/>
      <c r="I77" s="190"/>
      <c r="J77" s="190"/>
      <c r="K77" s="190"/>
      <c r="L77" s="200"/>
      <c r="M77" s="191"/>
      <c r="N77" s="190"/>
      <c r="O77" s="190"/>
      <c r="P77" s="190"/>
      <c r="Q77" s="190"/>
      <c r="R77" s="190"/>
      <c r="S77" s="190"/>
      <c r="T77" s="190"/>
      <c r="U77" s="190"/>
      <c r="V77" s="190"/>
      <c r="W77" s="190"/>
      <c r="X77" s="190"/>
      <c r="Y77" s="190"/>
    </row>
    <row r="78" spans="1:25" s="180" customFormat="1" ht="15.75">
      <c r="B78" s="132" t="s">
        <v>55</v>
      </c>
      <c r="C78" s="189"/>
      <c r="D78" s="189"/>
      <c r="E78" s="189"/>
      <c r="F78" s="189"/>
      <c r="G78" s="190"/>
      <c r="H78" s="190"/>
      <c r="I78" s="190"/>
      <c r="J78" s="190"/>
      <c r="K78" s="190"/>
      <c r="L78" s="200"/>
      <c r="M78" s="191"/>
      <c r="N78" s="190"/>
      <c r="O78" s="190"/>
      <c r="P78" s="190"/>
      <c r="Q78" s="190"/>
      <c r="R78" s="190"/>
      <c r="S78" s="190"/>
      <c r="T78" s="190"/>
      <c r="U78" s="190"/>
      <c r="V78" s="190"/>
      <c r="W78" s="190"/>
      <c r="X78" s="190"/>
      <c r="Y78" s="190"/>
    </row>
    <row r="79" spans="1:25" s="180" customFormat="1">
      <c r="B79" s="133" t="s">
        <v>159</v>
      </c>
      <c r="C79" s="189">
        <v>0</v>
      </c>
      <c r="D79" s="189">
        <v>100000</v>
      </c>
      <c r="E79" s="189">
        <f>SUM(C79:D79)</f>
        <v>100000</v>
      </c>
      <c r="F79" s="189">
        <v>0</v>
      </c>
      <c r="G79" s="190"/>
      <c r="H79" s="190"/>
      <c r="I79" s="190"/>
      <c r="J79" s="190"/>
      <c r="K79" s="190"/>
      <c r="L79" s="200" t="s">
        <v>249</v>
      </c>
      <c r="M79" s="191"/>
      <c r="N79" s="190"/>
      <c r="O79" s="190"/>
      <c r="P79" s="190"/>
      <c r="Q79" s="190"/>
      <c r="R79" s="190"/>
      <c r="S79" s="190"/>
      <c r="T79" s="190"/>
      <c r="U79" s="190"/>
      <c r="V79" s="190"/>
      <c r="W79" s="190"/>
      <c r="X79" s="190"/>
      <c r="Y79" s="190"/>
    </row>
    <row r="80" spans="1:25" s="180" customFormat="1">
      <c r="B80" s="133" t="s">
        <v>188</v>
      </c>
      <c r="C80" s="189">
        <v>0</v>
      </c>
      <c r="D80" s="222">
        <v>60000</v>
      </c>
      <c r="E80" s="222">
        <f>SUM(C80:D80)</f>
        <v>60000</v>
      </c>
      <c r="F80" s="222">
        <v>120000</v>
      </c>
      <c r="G80" s="190"/>
      <c r="H80" s="190"/>
      <c r="I80" s="190"/>
      <c r="J80" s="190"/>
      <c r="K80" s="190"/>
      <c r="L80" s="201"/>
      <c r="M80" s="191"/>
      <c r="N80" s="190"/>
      <c r="O80" s="190"/>
      <c r="P80" s="190"/>
      <c r="Q80" s="190"/>
      <c r="R80" s="190"/>
      <c r="S80" s="190"/>
      <c r="T80" s="190"/>
      <c r="U80" s="190"/>
      <c r="V80" s="190"/>
      <c r="W80" s="190"/>
      <c r="X80" s="190"/>
      <c r="Y80" s="190"/>
    </row>
    <row r="81" spans="2:25" s="180" customFormat="1">
      <c r="B81" s="133" t="s">
        <v>243</v>
      </c>
      <c r="C81" s="189">
        <v>0</v>
      </c>
      <c r="D81" s="189">
        <v>50000</v>
      </c>
      <c r="E81" s="189">
        <f>SUM(C81:D81)</f>
        <v>50000</v>
      </c>
      <c r="F81" s="189">
        <v>10000</v>
      </c>
      <c r="G81" s="190"/>
      <c r="H81" s="190"/>
      <c r="I81" s="190"/>
      <c r="J81" s="190"/>
      <c r="K81" s="190"/>
      <c r="L81" s="200" t="s">
        <v>242</v>
      </c>
      <c r="M81" s="191"/>
      <c r="N81" s="190"/>
      <c r="O81" s="190"/>
      <c r="P81" s="190"/>
      <c r="Q81" s="190"/>
      <c r="R81" s="190"/>
      <c r="S81" s="190"/>
      <c r="T81" s="190"/>
      <c r="U81" s="190"/>
      <c r="V81" s="190"/>
      <c r="W81" s="190"/>
      <c r="X81" s="190"/>
      <c r="Y81" s="190"/>
    </row>
    <row r="82" spans="2:25" s="180" customFormat="1">
      <c r="B82" s="133" t="s">
        <v>117</v>
      </c>
      <c r="C82" s="189">
        <v>3000</v>
      </c>
      <c r="D82" s="189">
        <v>2000</v>
      </c>
      <c r="E82" s="189">
        <f>SUM(C82:D82)</f>
        <v>5000</v>
      </c>
      <c r="F82" s="189">
        <v>1000</v>
      </c>
      <c r="G82" s="190"/>
      <c r="H82" s="190"/>
      <c r="I82" s="190"/>
      <c r="J82" s="190"/>
      <c r="K82" s="190"/>
      <c r="L82" s="200" t="s">
        <v>244</v>
      </c>
      <c r="M82" s="191"/>
      <c r="N82" s="190"/>
      <c r="O82" s="190"/>
      <c r="P82" s="190"/>
      <c r="Q82" s="190"/>
      <c r="R82" s="190"/>
      <c r="S82" s="190"/>
      <c r="T82" s="190"/>
      <c r="U82" s="190"/>
      <c r="V82" s="190"/>
      <c r="W82" s="190"/>
      <c r="X82" s="190"/>
      <c r="Y82" s="190"/>
    </row>
    <row r="83" spans="2:25" s="180" customFormat="1" ht="15.75">
      <c r="B83" s="132" t="str">
        <f>CONCATENATE("Subtotal ",B78)</f>
        <v>Subtotal RTF Management</v>
      </c>
      <c r="C83" s="193">
        <f>SUM(C79:C82)</f>
        <v>3000</v>
      </c>
      <c r="D83" s="193">
        <f>SUM(D79:D82)</f>
        <v>212000</v>
      </c>
      <c r="E83" s="193">
        <f>SUM(E79:E82)</f>
        <v>215000</v>
      </c>
      <c r="F83" s="193">
        <f>SUM(F79:F82)</f>
        <v>131000</v>
      </c>
      <c r="G83" s="234">
        <f>E83/$E$86</f>
        <v>0.14333333333333334</v>
      </c>
      <c r="H83" s="190"/>
      <c r="I83" s="190"/>
      <c r="J83" s="190"/>
      <c r="K83" s="190"/>
      <c r="L83" s="200"/>
      <c r="M83" s="191"/>
      <c r="N83" s="190"/>
      <c r="O83" s="190"/>
      <c r="P83" s="190"/>
      <c r="Q83" s="190"/>
      <c r="R83" s="190"/>
      <c r="S83" s="190"/>
      <c r="T83" s="190"/>
      <c r="U83" s="190"/>
      <c r="V83" s="190"/>
      <c r="W83" s="190"/>
      <c r="X83" s="190"/>
      <c r="Y83" s="190"/>
    </row>
    <row r="84" spans="2:25" s="180" customFormat="1">
      <c r="B84" s="200"/>
      <c r="C84" s="190"/>
      <c r="D84" s="190"/>
      <c r="E84" s="190"/>
      <c r="F84" s="190"/>
      <c r="G84" s="190"/>
      <c r="H84" s="190"/>
      <c r="I84" s="190"/>
      <c r="J84" s="190"/>
      <c r="K84" s="190"/>
      <c r="L84" s="200"/>
      <c r="M84" s="191"/>
      <c r="N84" s="190"/>
      <c r="O84" s="190"/>
      <c r="P84" s="190"/>
      <c r="Q84" s="190"/>
      <c r="R84" s="190"/>
      <c r="S84" s="190"/>
      <c r="T84" s="190"/>
      <c r="U84" s="190"/>
      <c r="V84" s="190"/>
      <c r="W84" s="190"/>
      <c r="X84" s="190"/>
      <c r="Y84" s="190"/>
    </row>
    <row r="85" spans="2:25" s="180" customFormat="1">
      <c r="B85" s="198"/>
      <c r="L85" s="198"/>
      <c r="M85" s="181"/>
    </row>
    <row r="86" spans="2:25" s="180" customFormat="1" ht="15.75">
      <c r="B86" s="131" t="s">
        <v>184</v>
      </c>
      <c r="C86" s="194">
        <f>SUM(C17,C24,C31,C40,C50,C61,C69,C75,C83)</f>
        <v>637500</v>
      </c>
      <c r="D86" s="194">
        <f>SUM(D17,D24,D31,D40,D50,D61,D69,D75,D83)</f>
        <v>862500</v>
      </c>
      <c r="E86" s="194">
        <f>SUM(E17,E24,E31,E40,E50,E61,E69,E75,E83)</f>
        <v>1500000</v>
      </c>
      <c r="F86" s="194">
        <f>SUM(F17,F24,F31,F40,F50,F61,F69,F75,F83)</f>
        <v>263950</v>
      </c>
      <c r="G86" s="231">
        <f>SUM(G9:G85)</f>
        <v>1.0000000000000002</v>
      </c>
      <c r="H86" s="195"/>
      <c r="I86" s="195"/>
      <c r="J86" s="195"/>
      <c r="K86" s="195"/>
      <c r="L86" s="202"/>
      <c r="M86" s="196"/>
      <c r="N86" s="195"/>
      <c r="O86" s="195"/>
      <c r="P86" s="195"/>
      <c r="Q86" s="195"/>
      <c r="R86" s="195"/>
      <c r="S86" s="195"/>
      <c r="T86" s="195"/>
      <c r="U86" s="195"/>
      <c r="V86" s="195"/>
      <c r="W86" s="195"/>
      <c r="X86" s="195"/>
      <c r="Y86" s="195"/>
    </row>
    <row r="87" spans="2:25" ht="15.75" thickBot="1">
      <c r="C87" s="217">
        <f>C86/$E$86</f>
        <v>0.42499999999999999</v>
      </c>
      <c r="D87" s="217">
        <f>D86/$E$86</f>
        <v>0.57499999999999996</v>
      </c>
    </row>
    <row r="88" spans="2:25">
      <c r="C88" s="180"/>
      <c r="D88" s="219">
        <f>D86/(410000/3)</f>
        <v>6.3109756097560981</v>
      </c>
      <c r="F88" s="219">
        <f>F86/('NPCC In Kind'!E2)</f>
        <v>1.6496875</v>
      </c>
      <c r="M88"/>
    </row>
    <row r="89" spans="2:25" ht="15.75" thickBot="1">
      <c r="C89" s="180"/>
      <c r="D89" s="218" t="s">
        <v>245</v>
      </c>
      <c r="F89" s="218" t="s">
        <v>245</v>
      </c>
      <c r="M89"/>
    </row>
    <row r="91" spans="2:25">
      <c r="F91" s="245">
        <f>SUM(F17,F24,F31,F40,F50,F61,F69)</f>
        <v>125950</v>
      </c>
      <c r="G91" t="s">
        <v>298</v>
      </c>
      <c r="M91"/>
    </row>
    <row r="92" spans="2:25">
      <c r="F92" s="245">
        <f>SUM(F83,F75)</f>
        <v>138000</v>
      </c>
      <c r="G92" t="s">
        <v>299</v>
      </c>
      <c r="M92"/>
    </row>
    <row r="94" spans="2:25">
      <c r="M94"/>
    </row>
    <row r="95" spans="2:25">
      <c r="D95" s="4"/>
      <c r="M95"/>
    </row>
  </sheetData>
  <mergeCells count="1">
    <mergeCell ref="H7:K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Sheet4"/>
  <dimension ref="B1:T43"/>
  <sheetViews>
    <sheetView tabSelected="1" workbookViewId="0">
      <selection activeCell="E6" sqref="E6"/>
    </sheetView>
  </sheetViews>
  <sheetFormatPr defaultColWidth="8.85546875" defaultRowHeight="15"/>
  <cols>
    <col min="2" max="2" width="52.7109375" customWidth="1"/>
    <col min="3" max="3" width="13.7109375" customWidth="1"/>
    <col min="4" max="4" width="11" customWidth="1"/>
    <col min="5" max="5" width="12.140625" customWidth="1"/>
    <col min="6" max="6" width="11.85546875" customWidth="1"/>
    <col min="7" max="7" width="11" customWidth="1"/>
    <col min="8" max="8" width="7.5703125" customWidth="1"/>
    <col min="9" max="9" width="13.7109375" customWidth="1"/>
    <col min="10" max="10" width="11" customWidth="1"/>
    <col min="11" max="11" width="12.140625" customWidth="1"/>
    <col min="12" max="12" width="11.85546875" customWidth="1"/>
    <col min="15" max="16" width="9.28515625" bestFit="1" customWidth="1"/>
    <col min="17" max="17" width="10.85546875" bestFit="1" customWidth="1"/>
    <col min="18" max="18" width="11.85546875" customWidth="1"/>
    <col min="20" max="20" width="60.7109375" customWidth="1"/>
  </cols>
  <sheetData>
    <row r="1" spans="2:20" ht="23.25">
      <c r="B1" s="76" t="s">
        <v>255</v>
      </c>
    </row>
    <row r="2" spans="2:20">
      <c r="B2" s="91" t="str">
        <f>'Table of Contents'!B2</f>
        <v>Staff Proposed - October, 2013</v>
      </c>
      <c r="M2" s="60"/>
      <c r="N2" s="60"/>
    </row>
    <row r="3" spans="2:20">
      <c r="B3" t="s">
        <v>179</v>
      </c>
    </row>
    <row r="4" spans="2:20">
      <c r="C4" s="274" t="s">
        <v>118</v>
      </c>
      <c r="D4" s="274"/>
      <c r="E4" s="274"/>
      <c r="F4" s="274"/>
      <c r="I4" s="274" t="s">
        <v>119</v>
      </c>
      <c r="J4" s="274"/>
      <c r="K4" s="274"/>
      <c r="L4" s="274"/>
      <c r="O4" s="274" t="s">
        <v>253</v>
      </c>
      <c r="P4" s="274"/>
      <c r="Q4" s="274"/>
      <c r="R4" s="274"/>
    </row>
    <row r="5" spans="2:20" ht="64.5">
      <c r="B5" s="12" t="s">
        <v>53</v>
      </c>
      <c r="C5" s="13" t="s">
        <v>57</v>
      </c>
      <c r="D5" s="13" t="s">
        <v>51</v>
      </c>
      <c r="E5" s="115" t="s">
        <v>74</v>
      </c>
      <c r="F5" s="114" t="s">
        <v>167</v>
      </c>
      <c r="H5" s="13" t="s">
        <v>120</v>
      </c>
      <c r="I5" s="13" t="s">
        <v>57</v>
      </c>
      <c r="J5" s="13" t="s">
        <v>51</v>
      </c>
      <c r="K5" s="115" t="s">
        <v>74</v>
      </c>
      <c r="L5" s="114" t="s">
        <v>167</v>
      </c>
      <c r="N5" s="13" t="s">
        <v>120</v>
      </c>
      <c r="O5" s="13" t="s">
        <v>57</v>
      </c>
      <c r="P5" s="13" t="s">
        <v>51</v>
      </c>
      <c r="Q5" s="115" t="s">
        <v>74</v>
      </c>
      <c r="R5" s="114" t="s">
        <v>167</v>
      </c>
      <c r="T5" s="13" t="s">
        <v>20</v>
      </c>
    </row>
    <row r="6" spans="2:20" ht="38.25" customHeight="1">
      <c r="B6" s="20" t="s">
        <v>56</v>
      </c>
      <c r="C6" s="21">
        <f>'Category Detail (2013)'!C17</f>
        <v>120500</v>
      </c>
      <c r="D6" s="21">
        <f>'Category Detail (2013)'!D17</f>
        <v>429100</v>
      </c>
      <c r="E6" s="159">
        <f>'Category Detail (2013)'!E17</f>
        <v>549600</v>
      </c>
      <c r="F6" s="164">
        <f>'Category Detail (2013)'!F17</f>
        <v>23000</v>
      </c>
      <c r="H6" s="81">
        <v>1</v>
      </c>
      <c r="I6" s="21">
        <f>C6*$H6</f>
        <v>120500</v>
      </c>
      <c r="J6" s="21">
        <f t="shared" ref="J6:L6" si="0">D6*$H6</f>
        <v>429100</v>
      </c>
      <c r="K6" s="116">
        <f>SUM(I6:J6)</f>
        <v>549600</v>
      </c>
      <c r="L6" s="21">
        <f t="shared" si="0"/>
        <v>23000</v>
      </c>
      <c r="N6" s="81">
        <v>0.8</v>
      </c>
      <c r="O6" s="21">
        <f t="shared" ref="O6:P13" si="1">C6*$N6</f>
        <v>96400</v>
      </c>
      <c r="P6" s="21">
        <f t="shared" si="1"/>
        <v>343280</v>
      </c>
      <c r="Q6" s="116">
        <f>SUM(O6:P6)</f>
        <v>439680</v>
      </c>
      <c r="R6" s="21">
        <f t="shared" ref="R6:R13" si="2">F6*$N6</f>
        <v>18400</v>
      </c>
      <c r="T6" s="146" t="s">
        <v>210</v>
      </c>
    </row>
    <row r="7" spans="2:20" ht="38.25" customHeight="1">
      <c r="B7" s="23" t="s">
        <v>73</v>
      </c>
      <c r="C7" s="21">
        <f>'Category Detail (2013)'!C24</f>
        <v>92000</v>
      </c>
      <c r="D7" s="21">
        <f>'Category Detail (2013)'!D24</f>
        <v>69000</v>
      </c>
      <c r="E7" s="159">
        <f>'Category Detail (2013)'!E24</f>
        <v>161000</v>
      </c>
      <c r="F7" s="164">
        <f>'Category Detail (2013)'!F24</f>
        <v>4500</v>
      </c>
      <c r="H7" s="81">
        <v>1</v>
      </c>
      <c r="I7" s="21">
        <f t="shared" ref="I7:I8" si="3">C7*$H7</f>
        <v>92000</v>
      </c>
      <c r="J7" s="21">
        <f t="shared" ref="J7:J8" si="4">D7*$H7</f>
        <v>69000</v>
      </c>
      <c r="K7" s="116">
        <f t="shared" ref="K7:K14" si="5">SUM(I7:J7)</f>
        <v>161000</v>
      </c>
      <c r="L7" s="21">
        <f t="shared" ref="L7:L8" si="6">F7*$H7</f>
        <v>4500</v>
      </c>
      <c r="N7" s="81">
        <v>1.5</v>
      </c>
      <c r="O7" s="21">
        <f t="shared" si="1"/>
        <v>138000</v>
      </c>
      <c r="P7" s="21">
        <f t="shared" si="1"/>
        <v>103500</v>
      </c>
      <c r="Q7" s="116">
        <f t="shared" ref="Q7:Q14" si="7">SUM(O7:P7)</f>
        <v>241500</v>
      </c>
      <c r="R7" s="21">
        <f t="shared" si="2"/>
        <v>6750</v>
      </c>
      <c r="T7" s="146" t="s">
        <v>201</v>
      </c>
    </row>
    <row r="8" spans="2:20" ht="38.25" customHeight="1">
      <c r="B8" s="20" t="s">
        <v>54</v>
      </c>
      <c r="C8" s="21">
        <f>'Category Detail (2013)'!C31</f>
        <v>44000</v>
      </c>
      <c r="D8" s="21">
        <f>'Category Detail (2013)'!D31</f>
        <v>22500</v>
      </c>
      <c r="E8" s="159">
        <f>'Category Detail (2013)'!E31</f>
        <v>66500</v>
      </c>
      <c r="F8" s="164">
        <f>'Category Detail (2013)'!F31</f>
        <v>2000</v>
      </c>
      <c r="H8" s="81">
        <v>0.5</v>
      </c>
      <c r="I8" s="21">
        <f t="shared" si="3"/>
        <v>22000</v>
      </c>
      <c r="J8" s="21">
        <f t="shared" si="4"/>
        <v>11250</v>
      </c>
      <c r="K8" s="116">
        <f t="shared" si="5"/>
        <v>33250</v>
      </c>
      <c r="L8" s="21">
        <f t="shared" si="6"/>
        <v>1000</v>
      </c>
      <c r="N8" s="81">
        <v>0.5</v>
      </c>
      <c r="O8" s="21">
        <f t="shared" si="1"/>
        <v>22000</v>
      </c>
      <c r="P8" s="21">
        <f t="shared" si="1"/>
        <v>11250</v>
      </c>
      <c r="Q8" s="116">
        <f t="shared" si="7"/>
        <v>33250</v>
      </c>
      <c r="R8" s="21">
        <f t="shared" si="2"/>
        <v>1000</v>
      </c>
      <c r="T8" s="146" t="s">
        <v>122</v>
      </c>
    </row>
    <row r="9" spans="2:20" ht="38.25" customHeight="1">
      <c r="B9" s="15" t="s">
        <v>71</v>
      </c>
      <c r="C9" s="16">
        <f>'Category Detail (2013)'!C40</f>
        <v>57000</v>
      </c>
      <c r="D9" s="16">
        <f>'Category Detail (2013)'!D40</f>
        <v>38000</v>
      </c>
      <c r="E9" s="160">
        <f>'Category Detail (2013)'!E40</f>
        <v>95000</v>
      </c>
      <c r="F9" s="165">
        <f>'Category Detail (2013)'!F40</f>
        <v>3000</v>
      </c>
      <c r="H9" s="81">
        <v>0.6</v>
      </c>
      <c r="I9" s="16">
        <f t="shared" ref="I9:I13" si="8">C9*$H9</f>
        <v>34200</v>
      </c>
      <c r="J9" s="16">
        <f t="shared" ref="J9:J13" si="9">D9*$H9</f>
        <v>22800</v>
      </c>
      <c r="K9" s="117">
        <f t="shared" si="5"/>
        <v>57000</v>
      </c>
      <c r="L9" s="16">
        <f t="shared" ref="L9:L13" si="10">F9*$H9</f>
        <v>1800</v>
      </c>
      <c r="N9" s="81">
        <v>0.45</v>
      </c>
      <c r="O9" s="16">
        <f t="shared" si="1"/>
        <v>25650</v>
      </c>
      <c r="P9" s="16">
        <f t="shared" si="1"/>
        <v>17100</v>
      </c>
      <c r="Q9" s="117">
        <f t="shared" si="7"/>
        <v>42750</v>
      </c>
      <c r="R9" s="16">
        <f t="shared" si="2"/>
        <v>1350</v>
      </c>
      <c r="T9" s="147" t="s">
        <v>121</v>
      </c>
    </row>
    <row r="10" spans="2:20" ht="38.25" customHeight="1">
      <c r="B10" s="18" t="s">
        <v>31</v>
      </c>
      <c r="C10" s="16">
        <f>'Category Detail (2013)'!C50</f>
        <v>127000</v>
      </c>
      <c r="D10" s="16">
        <f>'Category Detail (2013)'!D50</f>
        <v>24900</v>
      </c>
      <c r="E10" s="160">
        <f>'Category Detail (2013)'!E50</f>
        <v>151900</v>
      </c>
      <c r="F10" s="165">
        <f>'Category Detail (2013)'!F50</f>
        <v>12450</v>
      </c>
      <c r="H10" s="81">
        <v>1.1499999999999999</v>
      </c>
      <c r="I10" s="16">
        <f t="shared" si="8"/>
        <v>146050</v>
      </c>
      <c r="J10" s="16">
        <f t="shared" si="9"/>
        <v>28634.999999999996</v>
      </c>
      <c r="K10" s="117">
        <f t="shared" si="5"/>
        <v>174685</v>
      </c>
      <c r="L10" s="16">
        <f t="shared" si="10"/>
        <v>14317.499999999998</v>
      </c>
      <c r="N10" s="81">
        <v>1.3</v>
      </c>
      <c r="O10" s="16">
        <f t="shared" si="1"/>
        <v>165100</v>
      </c>
      <c r="P10" s="16">
        <f t="shared" si="1"/>
        <v>32370</v>
      </c>
      <c r="Q10" s="117">
        <f t="shared" si="7"/>
        <v>197470</v>
      </c>
      <c r="R10" s="16">
        <f t="shared" si="2"/>
        <v>16185</v>
      </c>
      <c r="T10" s="147" t="s">
        <v>123</v>
      </c>
    </row>
    <row r="11" spans="2:20" ht="38.25" customHeight="1">
      <c r="B11" s="18" t="s">
        <v>78</v>
      </c>
      <c r="C11" s="16">
        <f>'Category Detail (2013)'!C61</f>
        <v>20000</v>
      </c>
      <c r="D11" s="16">
        <f>'Category Detail (2013)'!D61</f>
        <v>67000</v>
      </c>
      <c r="E11" s="160">
        <f>'Category Detail (2013)'!E61</f>
        <v>87000</v>
      </c>
      <c r="F11" s="165">
        <f>'Category Detail (2013)'!F61</f>
        <v>16000</v>
      </c>
      <c r="H11" s="81">
        <v>1.1000000000000001</v>
      </c>
      <c r="I11" s="16">
        <f t="shared" si="8"/>
        <v>22000</v>
      </c>
      <c r="J11" s="16">
        <f t="shared" si="9"/>
        <v>73700</v>
      </c>
      <c r="K11" s="117">
        <f t="shared" si="5"/>
        <v>95700</v>
      </c>
      <c r="L11" s="16">
        <f t="shared" si="10"/>
        <v>17600</v>
      </c>
      <c r="N11" s="81">
        <v>1.25</v>
      </c>
      <c r="O11" s="16">
        <f t="shared" si="1"/>
        <v>25000</v>
      </c>
      <c r="P11" s="16">
        <f t="shared" si="1"/>
        <v>83750</v>
      </c>
      <c r="Q11" s="117">
        <f t="shared" si="7"/>
        <v>108750</v>
      </c>
      <c r="R11" s="16">
        <f t="shared" si="2"/>
        <v>20000</v>
      </c>
      <c r="T11" s="147" t="s">
        <v>123</v>
      </c>
    </row>
    <row r="12" spans="2:20" ht="38.25" customHeight="1">
      <c r="B12" s="9" t="s">
        <v>52</v>
      </c>
      <c r="C12" s="10">
        <f>'Category Detail (2013)'!C69</f>
        <v>0</v>
      </c>
      <c r="D12" s="10">
        <f>'Category Detail (2013)'!D69</f>
        <v>0</v>
      </c>
      <c r="E12" s="161">
        <f>'Category Detail (2013)'!E69</f>
        <v>0</v>
      </c>
      <c r="F12" s="166">
        <f>'Category Detail (2013)'!F69</f>
        <v>65000</v>
      </c>
      <c r="H12" s="81">
        <v>1</v>
      </c>
      <c r="I12" s="10">
        <f t="shared" si="8"/>
        <v>0</v>
      </c>
      <c r="J12" s="10">
        <f t="shared" si="9"/>
        <v>0</v>
      </c>
      <c r="K12" s="118">
        <f t="shared" si="5"/>
        <v>0</v>
      </c>
      <c r="L12" s="10">
        <f t="shared" si="10"/>
        <v>65000</v>
      </c>
      <c r="N12" s="81">
        <v>1</v>
      </c>
      <c r="O12" s="10">
        <f t="shared" si="1"/>
        <v>0</v>
      </c>
      <c r="P12" s="10">
        <f t="shared" si="1"/>
        <v>0</v>
      </c>
      <c r="Q12" s="118">
        <f t="shared" si="7"/>
        <v>0</v>
      </c>
      <c r="R12" s="10">
        <f t="shared" si="2"/>
        <v>65000</v>
      </c>
      <c r="T12" s="145" t="s">
        <v>124</v>
      </c>
    </row>
    <row r="13" spans="2:20" ht="38.25" customHeight="1">
      <c r="B13" s="11" t="s">
        <v>22</v>
      </c>
      <c r="C13" s="10">
        <f>'Category Detail (2013)'!C75</f>
        <v>174000</v>
      </c>
      <c r="D13" s="10">
        <f>'Category Detail (2013)'!D75</f>
        <v>0</v>
      </c>
      <c r="E13" s="161">
        <f>'Category Detail (2013)'!E75</f>
        <v>174000</v>
      </c>
      <c r="F13" s="166">
        <f>'Category Detail (2013)'!F75</f>
        <v>7000</v>
      </c>
      <c r="H13" s="81">
        <v>1.05</v>
      </c>
      <c r="I13" s="10">
        <f t="shared" si="8"/>
        <v>182700</v>
      </c>
      <c r="J13" s="10">
        <f t="shared" si="9"/>
        <v>0</v>
      </c>
      <c r="K13" s="118">
        <f t="shared" si="5"/>
        <v>182700</v>
      </c>
      <c r="L13" s="10">
        <f t="shared" si="10"/>
        <v>7350</v>
      </c>
      <c r="N13" s="81">
        <v>1.1000000000000001</v>
      </c>
      <c r="O13" s="10">
        <f t="shared" si="1"/>
        <v>191400.00000000003</v>
      </c>
      <c r="P13" s="10">
        <f t="shared" si="1"/>
        <v>0</v>
      </c>
      <c r="Q13" s="118">
        <f t="shared" si="7"/>
        <v>191400.00000000003</v>
      </c>
      <c r="R13" s="10">
        <f t="shared" si="2"/>
        <v>7700.0000000000009</v>
      </c>
      <c r="T13" s="145" t="s">
        <v>273</v>
      </c>
    </row>
    <row r="14" spans="2:20" ht="38.25" customHeight="1">
      <c r="B14" s="9" t="s">
        <v>55</v>
      </c>
      <c r="C14" s="10">
        <f>'Category Detail (2013)'!C83</f>
        <v>3000</v>
      </c>
      <c r="D14" s="10">
        <f>'Category Detail (2013)'!D83</f>
        <v>212000</v>
      </c>
      <c r="E14" s="161">
        <f>'Category Detail (2013)'!E83</f>
        <v>215000</v>
      </c>
      <c r="F14" s="166">
        <f>'Category Detail (2013)'!F83</f>
        <v>131000</v>
      </c>
      <c r="H14" s="81">
        <v>1.2</v>
      </c>
      <c r="I14" s="10">
        <f t="shared" ref="I14" si="11">C14*$H14</f>
        <v>3600</v>
      </c>
      <c r="J14" s="10">
        <f t="shared" ref="J14" si="12">D14*$H14</f>
        <v>254400</v>
      </c>
      <c r="K14" s="118">
        <f t="shared" si="5"/>
        <v>258000</v>
      </c>
      <c r="L14" s="10">
        <v>120000</v>
      </c>
      <c r="N14" s="81">
        <v>1.25</v>
      </c>
      <c r="O14" s="10">
        <f t="shared" ref="O14" si="13">C14*$N14</f>
        <v>3750</v>
      </c>
      <c r="P14" s="10">
        <f t="shared" ref="P14" si="14">D14*$N14</f>
        <v>265000</v>
      </c>
      <c r="Q14" s="118">
        <f t="shared" si="7"/>
        <v>268750</v>
      </c>
      <c r="R14" s="10">
        <v>120000</v>
      </c>
      <c r="T14" s="145" t="s">
        <v>202</v>
      </c>
    </row>
    <row r="15" spans="2:20" ht="38.25" customHeight="1">
      <c r="B15" s="79" t="s">
        <v>23</v>
      </c>
      <c r="C15" s="80">
        <f>SUM(C6:C14)</f>
        <v>637500</v>
      </c>
      <c r="D15" s="80">
        <f t="shared" ref="D15:F15" si="15">SUM(D6:D14)</f>
        <v>862500</v>
      </c>
      <c r="E15" s="162">
        <f t="shared" si="15"/>
        <v>1500000</v>
      </c>
      <c r="F15" s="167">
        <f t="shared" si="15"/>
        <v>263950</v>
      </c>
      <c r="I15" s="80">
        <f>SUM(I6:I14)</f>
        <v>623050</v>
      </c>
      <c r="J15" s="80">
        <f t="shared" ref="J15:L15" si="16">SUM(J6:J14)</f>
        <v>888885</v>
      </c>
      <c r="K15" s="119">
        <f t="shared" si="16"/>
        <v>1511935</v>
      </c>
      <c r="L15" s="80">
        <f t="shared" si="16"/>
        <v>254567.5</v>
      </c>
      <c r="O15" s="80">
        <f>SUM(O6:O14)</f>
        <v>667300</v>
      </c>
      <c r="P15" s="80">
        <f t="shared" ref="P15:R15" si="17">SUM(P6:P14)</f>
        <v>856250</v>
      </c>
      <c r="Q15" s="119">
        <f t="shared" si="17"/>
        <v>1523550</v>
      </c>
      <c r="R15" s="80">
        <f t="shared" si="17"/>
        <v>256385</v>
      </c>
      <c r="T15" s="84"/>
    </row>
    <row r="16" spans="2:20">
      <c r="B16" s="120" t="s">
        <v>33</v>
      </c>
      <c r="C16" s="85"/>
      <c r="D16" s="121">
        <f>D15/(410000/3)</f>
        <v>6.3109756097560981</v>
      </c>
      <c r="E16" s="123"/>
      <c r="F16" s="122">
        <f>F15/'NPCC In Kind'!$E$2</f>
        <v>1.6496875</v>
      </c>
      <c r="I16" s="85"/>
      <c r="J16" s="121">
        <f>J15/(410000/3)</f>
        <v>6.5040365853658537</v>
      </c>
      <c r="K16" s="123"/>
      <c r="L16" s="122">
        <f>L15/'NPCC In Kind'!$E$2</f>
        <v>1.591046875</v>
      </c>
      <c r="O16" s="85"/>
      <c r="P16" s="121">
        <f>P15/(410000/3)</f>
        <v>6.2652439024390247</v>
      </c>
      <c r="Q16" s="123"/>
      <c r="R16" s="122">
        <f>R15/'NPCC In Kind'!$E$2</f>
        <v>1.60240625</v>
      </c>
    </row>
    <row r="18" spans="2:6" ht="39">
      <c r="C18" s="13" t="s">
        <v>57</v>
      </c>
      <c r="D18" s="13" t="s">
        <v>51</v>
      </c>
      <c r="E18" s="13" t="s">
        <v>74</v>
      </c>
      <c r="F18" s="13" t="s">
        <v>285</v>
      </c>
    </row>
    <row r="19" spans="2:6">
      <c r="B19" s="83" t="str">
        <f>C4</f>
        <v>Calendar 2013</v>
      </c>
      <c r="C19" s="82">
        <f>C15</f>
        <v>637500</v>
      </c>
      <c r="D19" s="82">
        <f t="shared" ref="D19:F19" si="18">D15</f>
        <v>862500</v>
      </c>
      <c r="E19" s="82">
        <f t="shared" si="18"/>
        <v>1500000</v>
      </c>
      <c r="F19" s="82">
        <f t="shared" si="18"/>
        <v>263950</v>
      </c>
    </row>
    <row r="20" spans="2:6">
      <c r="B20" s="83" t="str">
        <f>I4</f>
        <v>Calendar 2014</v>
      </c>
      <c r="C20" s="82">
        <f>I15</f>
        <v>623050</v>
      </c>
      <c r="D20" s="82">
        <f t="shared" ref="D20:F20" si="19">J15</f>
        <v>888885</v>
      </c>
      <c r="E20" s="82">
        <f t="shared" si="19"/>
        <v>1511935</v>
      </c>
      <c r="F20" s="82">
        <f t="shared" si="19"/>
        <v>254567.5</v>
      </c>
    </row>
    <row r="21" spans="2:6">
      <c r="B21" s="83" t="str">
        <f>O4</f>
        <v>Calendar 2015</v>
      </c>
      <c r="C21" s="82">
        <f>O15</f>
        <v>667300</v>
      </c>
      <c r="D21" s="82">
        <f>P15</f>
        <v>856250</v>
      </c>
      <c r="E21" s="82">
        <f>Q15</f>
        <v>1523550</v>
      </c>
      <c r="F21" s="82">
        <f>R15</f>
        <v>256385</v>
      </c>
    </row>
    <row r="24" spans="2:6">
      <c r="B24" s="85"/>
      <c r="C24" s="13" t="s">
        <v>165</v>
      </c>
      <c r="D24" s="13" t="s">
        <v>166</v>
      </c>
      <c r="E24" s="13" t="s">
        <v>254</v>
      </c>
    </row>
    <row r="25" spans="2:6">
      <c r="B25" s="83" t="s">
        <v>57</v>
      </c>
      <c r="C25" s="113">
        <f>C19</f>
        <v>637500</v>
      </c>
      <c r="D25" s="113">
        <f>C20</f>
        <v>623050</v>
      </c>
      <c r="E25" s="113">
        <f>C21</f>
        <v>667300</v>
      </c>
    </row>
    <row r="26" spans="2:6">
      <c r="B26" s="83" t="s">
        <v>51</v>
      </c>
      <c r="C26" s="113">
        <f>D19</f>
        <v>862500</v>
      </c>
      <c r="D26" s="113">
        <f>D20</f>
        <v>888885</v>
      </c>
      <c r="E26" s="113">
        <f>D21</f>
        <v>856250</v>
      </c>
    </row>
    <row r="27" spans="2:6">
      <c r="B27" s="83" t="s">
        <v>74</v>
      </c>
      <c r="C27" s="113">
        <f>E19</f>
        <v>1500000</v>
      </c>
      <c r="D27" s="113">
        <f>E20</f>
        <v>1511935</v>
      </c>
      <c r="E27" s="113">
        <f>E21</f>
        <v>1523550</v>
      </c>
    </row>
    <row r="28" spans="2:6">
      <c r="B28" s="83" t="s">
        <v>75</v>
      </c>
      <c r="C28" s="113">
        <f>F19</f>
        <v>263950</v>
      </c>
      <c r="D28" s="113">
        <f>F20</f>
        <v>254567.5</v>
      </c>
      <c r="E28" s="113">
        <f>F21</f>
        <v>256385</v>
      </c>
    </row>
    <row r="29" spans="2:6">
      <c r="B29" s="83" t="s">
        <v>168</v>
      </c>
      <c r="C29" s="124">
        <f>F16</f>
        <v>1.6496875</v>
      </c>
      <c r="D29" s="124">
        <f>L16</f>
        <v>1.591046875</v>
      </c>
      <c r="E29" s="124">
        <f>R16</f>
        <v>1.60240625</v>
      </c>
    </row>
    <row r="32" spans="2:6">
      <c r="B32" s="143" t="s">
        <v>74</v>
      </c>
      <c r="C32" s="13" t="s">
        <v>165</v>
      </c>
      <c r="D32" s="13" t="s">
        <v>166</v>
      </c>
      <c r="E32" s="13" t="s">
        <v>254</v>
      </c>
    </row>
    <row r="33" spans="2:5">
      <c r="B33" s="148" t="s">
        <v>169</v>
      </c>
      <c r="C33" s="149">
        <f>SUM(E6:E8)</f>
        <v>777100</v>
      </c>
      <c r="D33" s="149">
        <f>SUM(K6:K8)</f>
        <v>743850</v>
      </c>
      <c r="E33" s="149">
        <f>SUM(Q6:Q8)</f>
        <v>714430</v>
      </c>
    </row>
    <row r="34" spans="2:5">
      <c r="B34" s="140" t="s">
        <v>170</v>
      </c>
      <c r="C34" s="141">
        <f>SUM(E9:E11)</f>
        <v>333900</v>
      </c>
      <c r="D34" s="141">
        <f>SUM(K9:K11)</f>
        <v>327385</v>
      </c>
      <c r="E34" s="141">
        <f>SUM(Q9:Q11)</f>
        <v>348970</v>
      </c>
    </row>
    <row r="35" spans="2:5">
      <c r="B35" s="138" t="s">
        <v>55</v>
      </c>
      <c r="C35" s="139">
        <f>SUM(E12:E14)</f>
        <v>389000</v>
      </c>
      <c r="D35" s="139">
        <f>SUM(K12:K14)</f>
        <v>440700</v>
      </c>
      <c r="E35" s="139">
        <f>SUM(Q12:Q14)</f>
        <v>460150</v>
      </c>
    </row>
    <row r="36" spans="2:5">
      <c r="B36" s="142" t="s">
        <v>140</v>
      </c>
      <c r="C36" s="144">
        <f>SUM(C33:C35)</f>
        <v>1500000</v>
      </c>
      <c r="D36" s="144">
        <f t="shared" ref="D36:E36" si="20">SUM(D33:D35)</f>
        <v>1511935</v>
      </c>
      <c r="E36" s="144">
        <f t="shared" si="20"/>
        <v>1523550</v>
      </c>
    </row>
    <row r="39" spans="2:5">
      <c r="B39" s="143" t="s">
        <v>171</v>
      </c>
      <c r="C39" s="13" t="s">
        <v>165</v>
      </c>
      <c r="D39" s="13" t="s">
        <v>166</v>
      </c>
      <c r="E39" s="13" t="s">
        <v>254</v>
      </c>
    </row>
    <row r="40" spans="2:5">
      <c r="B40" s="148" t="s">
        <v>169</v>
      </c>
      <c r="C40" s="149">
        <f>SUM(E6:F8)</f>
        <v>806600</v>
      </c>
      <c r="D40" s="149">
        <f>SUM(K6:L8)</f>
        <v>772350</v>
      </c>
      <c r="E40" s="149">
        <f>SUM(Q6:R8)</f>
        <v>740580</v>
      </c>
    </row>
    <row r="41" spans="2:5">
      <c r="B41" s="140" t="s">
        <v>170</v>
      </c>
      <c r="C41" s="141">
        <f>SUM(E9:F11)</f>
        <v>365350</v>
      </c>
      <c r="D41" s="141">
        <f>SUM(K9:L11)</f>
        <v>361102.5</v>
      </c>
      <c r="E41" s="141">
        <f>SUM(Q9:R11)</f>
        <v>386505</v>
      </c>
    </row>
    <row r="42" spans="2:5">
      <c r="B42" s="138" t="s">
        <v>55</v>
      </c>
      <c r="C42" s="139">
        <f>SUM(E12:F14)</f>
        <v>592000</v>
      </c>
      <c r="D42" s="139">
        <f>SUM(K12:L14)</f>
        <v>633050</v>
      </c>
      <c r="E42" s="139">
        <f>SUM(Q12:R14)</f>
        <v>652850</v>
      </c>
    </row>
    <row r="43" spans="2:5">
      <c r="B43" s="142" t="s">
        <v>140</v>
      </c>
      <c r="C43" s="144">
        <f>SUM(C40:C42)</f>
        <v>1763950</v>
      </c>
      <c r="D43" s="144">
        <f t="shared" ref="D43:E43" si="21">SUM(D40:D42)</f>
        <v>1766502.5</v>
      </c>
      <c r="E43" s="144">
        <f t="shared" si="21"/>
        <v>1779935</v>
      </c>
    </row>
  </sheetData>
  <mergeCells count="3">
    <mergeCell ref="C4:F4"/>
    <mergeCell ref="I4:L4"/>
    <mergeCell ref="O4:R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AG29"/>
  <sheetViews>
    <sheetView topLeftCell="D1" workbookViewId="0">
      <selection activeCell="H28" sqref="H28"/>
    </sheetView>
  </sheetViews>
  <sheetFormatPr defaultColWidth="8.85546875" defaultRowHeight="12.75"/>
  <cols>
    <col min="1" max="2" width="19.140625" style="25" customWidth="1"/>
    <col min="3" max="3" width="25.42578125" style="25" customWidth="1"/>
    <col min="4" max="4" width="39" style="25" customWidth="1"/>
    <col min="5" max="5" width="15.28515625" style="25" customWidth="1"/>
    <col min="6" max="6" width="14" style="25" customWidth="1"/>
    <col min="7" max="7" width="11.42578125" style="25" customWidth="1"/>
    <col min="8" max="8" width="8.7109375" style="25" customWidth="1"/>
    <col min="9" max="9" width="25.42578125" style="25" customWidth="1"/>
    <col min="10" max="10" width="39" style="25" customWidth="1"/>
    <col min="11" max="11" width="15.28515625" style="25" customWidth="1"/>
    <col min="12" max="12" width="14" style="25" customWidth="1"/>
    <col min="13" max="13" width="11.42578125" style="25" customWidth="1"/>
    <col min="14" max="17" width="3.28515625" style="25" customWidth="1"/>
    <col min="18" max="18" width="18.42578125" style="25" customWidth="1"/>
    <col min="19" max="19" width="32.7109375" style="25" customWidth="1"/>
    <col min="20" max="20" width="15.28515625" style="25" customWidth="1"/>
    <col min="21" max="21" width="14" style="25" customWidth="1"/>
    <col min="22" max="22" width="11.42578125" style="25" customWidth="1"/>
    <col min="23" max="23" width="12.7109375" style="25" customWidth="1"/>
    <col min="24" max="24" width="11" style="25" customWidth="1"/>
    <col min="25" max="25" width="4.42578125" style="25" customWidth="1"/>
    <col min="26" max="26" width="8.85546875" style="25"/>
    <col min="27" max="27" width="18.42578125" style="25" customWidth="1"/>
    <col min="28" max="28" width="23" style="25" customWidth="1"/>
    <col min="29" max="29" width="15.28515625" style="25" customWidth="1"/>
    <col min="30" max="30" width="14" style="25" customWidth="1"/>
    <col min="31" max="31" width="11.42578125" style="25" customWidth="1"/>
    <col min="32" max="32" width="12.7109375" style="25" customWidth="1"/>
    <col min="33" max="33" width="11" style="25" customWidth="1"/>
    <col min="34" max="34" width="8.85546875" style="25"/>
    <col min="35" max="35" width="10.7109375" style="25" customWidth="1"/>
    <col min="36" max="36" width="10.85546875" style="25" customWidth="1"/>
    <col min="37" max="16384" width="8.85546875" style="25"/>
  </cols>
  <sheetData>
    <row r="1" spans="2:33" ht="23.25">
      <c r="B1" s="76" t="s">
        <v>127</v>
      </c>
      <c r="E1" s="57" t="s">
        <v>97</v>
      </c>
    </row>
    <row r="2" spans="2:33" ht="15">
      <c r="B2" s="45" t="str">
        <f>'Table of Contents'!B2</f>
        <v>Staff Proposed - October, 2013</v>
      </c>
      <c r="E2" s="58">
        <v>160000</v>
      </c>
    </row>
    <row r="3" spans="2:33" ht="15">
      <c r="B3" s="47"/>
    </row>
    <row r="4" spans="2:33" ht="15">
      <c r="C4" s="24" t="s">
        <v>180</v>
      </c>
      <c r="F4" s="26">
        <f>G21</f>
        <v>2.6200000000000006</v>
      </c>
      <c r="G4" s="27" t="s">
        <v>33</v>
      </c>
      <c r="I4" s="24" t="s">
        <v>297</v>
      </c>
      <c r="L4" s="26">
        <f>M20</f>
        <v>2.3539999999999996</v>
      </c>
      <c r="M4" s="27" t="s">
        <v>33</v>
      </c>
      <c r="R4" s="24" t="s">
        <v>32</v>
      </c>
      <c r="W4" s="26">
        <f>V20</f>
        <v>2.4799999999999991</v>
      </c>
      <c r="X4" s="27" t="s">
        <v>33</v>
      </c>
      <c r="AA4" s="24" t="s">
        <v>34</v>
      </c>
      <c r="AF4" s="28">
        <f>AE19</f>
        <v>1.2800000000000002</v>
      </c>
      <c r="AG4" s="29" t="s">
        <v>33</v>
      </c>
    </row>
    <row r="6" spans="2:33" ht="64.5" customHeight="1">
      <c r="C6" s="30" t="s">
        <v>35</v>
      </c>
      <c r="D6" s="30" t="s">
        <v>36</v>
      </c>
      <c r="E6" s="30" t="s">
        <v>37</v>
      </c>
      <c r="F6" s="30" t="s">
        <v>38</v>
      </c>
      <c r="G6" s="30" t="s">
        <v>39</v>
      </c>
      <c r="I6" s="30" t="s">
        <v>35</v>
      </c>
      <c r="J6" s="30" t="s">
        <v>36</v>
      </c>
      <c r="K6" s="30" t="s">
        <v>37</v>
      </c>
      <c r="L6" s="30" t="s">
        <v>38</v>
      </c>
      <c r="M6" s="30" t="s">
        <v>39</v>
      </c>
      <c r="R6" s="30" t="s">
        <v>35</v>
      </c>
      <c r="S6" s="30" t="s">
        <v>36</v>
      </c>
      <c r="T6" s="30" t="s">
        <v>37</v>
      </c>
      <c r="U6" s="30" t="s">
        <v>38</v>
      </c>
      <c r="V6" s="30" t="s">
        <v>39</v>
      </c>
      <c r="W6" s="30" t="s">
        <v>40</v>
      </c>
      <c r="X6" s="30" t="s">
        <v>41</v>
      </c>
      <c r="AA6" s="30" t="s">
        <v>35</v>
      </c>
      <c r="AB6" s="30" t="s">
        <v>36</v>
      </c>
      <c r="AC6" s="30" t="s">
        <v>37</v>
      </c>
      <c r="AD6" s="30" t="s">
        <v>38</v>
      </c>
      <c r="AE6" s="30" t="s">
        <v>39</v>
      </c>
      <c r="AF6" s="30" t="s">
        <v>40</v>
      </c>
      <c r="AG6" s="30" t="s">
        <v>41</v>
      </c>
    </row>
    <row r="7" spans="2:33">
      <c r="C7" s="31" t="s">
        <v>42</v>
      </c>
      <c r="D7" s="31" t="s">
        <v>98</v>
      </c>
      <c r="E7" s="35">
        <v>0.1</v>
      </c>
      <c r="F7" s="35">
        <v>0.2</v>
      </c>
      <c r="G7" s="32">
        <f t="shared" ref="G7:G20" si="0">SUM(E7:F7)</f>
        <v>0.30000000000000004</v>
      </c>
      <c r="I7" s="31" t="s">
        <v>42</v>
      </c>
      <c r="J7" s="31" t="s">
        <v>98</v>
      </c>
      <c r="K7" s="35">
        <v>0.6</v>
      </c>
      <c r="L7" s="35">
        <v>0.2</v>
      </c>
      <c r="M7" s="32">
        <v>0.8</v>
      </c>
      <c r="R7" s="31" t="s">
        <v>42</v>
      </c>
      <c r="S7" s="31" t="s">
        <v>43</v>
      </c>
      <c r="T7" s="32">
        <v>0.4</v>
      </c>
      <c r="U7" s="32">
        <v>0.4</v>
      </c>
      <c r="V7" s="32">
        <f t="shared" ref="V7:V19" si="1">SUM(T7:U7)</f>
        <v>0.8</v>
      </c>
      <c r="W7" s="31"/>
      <c r="X7" s="31"/>
      <c r="AA7" s="31" t="s">
        <v>42</v>
      </c>
      <c r="AB7" s="31" t="s">
        <v>43</v>
      </c>
      <c r="AC7" s="32">
        <v>0.2</v>
      </c>
      <c r="AD7" s="32">
        <v>0.1</v>
      </c>
      <c r="AE7" s="32">
        <f t="shared" ref="AE7:AE17" si="2">SUM(AC7:AD7)</f>
        <v>0.30000000000000004</v>
      </c>
      <c r="AF7" s="31"/>
      <c r="AG7" s="31"/>
    </row>
    <row r="8" spans="2:33">
      <c r="C8" s="31" t="s">
        <v>44</v>
      </c>
      <c r="D8" s="31" t="s">
        <v>45</v>
      </c>
      <c r="E8" s="35">
        <v>0.1</v>
      </c>
      <c r="F8" s="35">
        <v>0.25</v>
      </c>
      <c r="G8" s="32">
        <f t="shared" si="0"/>
        <v>0.35</v>
      </c>
      <c r="I8" s="31" t="s">
        <v>44</v>
      </c>
      <c r="J8" s="31" t="s">
        <v>45</v>
      </c>
      <c r="K8" s="35">
        <v>0.2</v>
      </c>
      <c r="L8" s="35">
        <v>0.25</v>
      </c>
      <c r="M8" s="32">
        <v>0.45</v>
      </c>
      <c r="R8" s="31" t="s">
        <v>44</v>
      </c>
      <c r="S8" s="31" t="s">
        <v>45</v>
      </c>
      <c r="T8" s="32">
        <v>0.3</v>
      </c>
      <c r="U8" s="32">
        <v>0.2</v>
      </c>
      <c r="V8" s="32">
        <f t="shared" si="1"/>
        <v>0.5</v>
      </c>
      <c r="W8" s="31"/>
      <c r="X8" s="31"/>
      <c r="AA8" s="31" t="s">
        <v>44</v>
      </c>
      <c r="AB8" s="31" t="s">
        <v>45</v>
      </c>
      <c r="AC8" s="32">
        <v>0.15</v>
      </c>
      <c r="AD8" s="32">
        <v>0.25</v>
      </c>
      <c r="AE8" s="32">
        <f t="shared" si="2"/>
        <v>0.4</v>
      </c>
      <c r="AF8" s="31"/>
      <c r="AG8" s="31"/>
    </row>
    <row r="9" spans="2:33">
      <c r="C9" s="31" t="s">
        <v>46</v>
      </c>
      <c r="D9" s="31" t="s">
        <v>47</v>
      </c>
      <c r="E9" s="35">
        <v>0.15</v>
      </c>
      <c r="F9" s="35">
        <v>0.25</v>
      </c>
      <c r="G9" s="32">
        <f t="shared" si="0"/>
        <v>0.4</v>
      </c>
      <c r="I9" s="31" t="s">
        <v>46</v>
      </c>
      <c r="J9" s="31" t="s">
        <v>47</v>
      </c>
      <c r="K9" s="35">
        <v>0.254</v>
      </c>
      <c r="L9" s="35">
        <v>0.35</v>
      </c>
      <c r="M9" s="32">
        <v>0.60399999999999998</v>
      </c>
      <c r="R9" s="31" t="s">
        <v>46</v>
      </c>
      <c r="S9" s="31" t="s">
        <v>47</v>
      </c>
      <c r="T9" s="32">
        <v>0.33</v>
      </c>
      <c r="U9" s="32">
        <v>0.33</v>
      </c>
      <c r="V9" s="32">
        <f t="shared" si="1"/>
        <v>0.66</v>
      </c>
      <c r="W9" s="31"/>
      <c r="X9" s="31"/>
      <c r="AA9" s="31" t="s">
        <v>46</v>
      </c>
      <c r="AB9" s="31" t="s">
        <v>47</v>
      </c>
      <c r="AC9" s="32">
        <v>0.15</v>
      </c>
      <c r="AD9" s="32">
        <v>0.15</v>
      </c>
      <c r="AE9" s="32">
        <f t="shared" si="2"/>
        <v>0.3</v>
      </c>
      <c r="AF9" s="31"/>
      <c r="AG9" s="31"/>
    </row>
    <row r="10" spans="2:33">
      <c r="C10" s="33" t="s">
        <v>48</v>
      </c>
      <c r="D10" s="33" t="s">
        <v>49</v>
      </c>
      <c r="E10" s="34">
        <v>0</v>
      </c>
      <c r="F10" s="32">
        <v>0.02</v>
      </c>
      <c r="G10" s="34">
        <f t="shared" si="0"/>
        <v>0.02</v>
      </c>
      <c r="I10" s="33" t="s">
        <v>48</v>
      </c>
      <c r="J10" s="33" t="s">
        <v>49</v>
      </c>
      <c r="K10" s="34">
        <v>0</v>
      </c>
      <c r="L10" s="32">
        <v>0.01</v>
      </c>
      <c r="M10" s="34">
        <v>0.01</v>
      </c>
      <c r="R10" s="33" t="s">
        <v>48</v>
      </c>
      <c r="S10" s="33" t="s">
        <v>49</v>
      </c>
      <c r="T10" s="34">
        <v>0</v>
      </c>
      <c r="U10" s="32">
        <v>0.01</v>
      </c>
      <c r="V10" s="34">
        <f t="shared" si="1"/>
        <v>0.01</v>
      </c>
      <c r="W10" s="31"/>
      <c r="X10" s="31"/>
      <c r="AA10" s="33" t="s">
        <v>48</v>
      </c>
      <c r="AB10" s="33" t="s">
        <v>49</v>
      </c>
      <c r="AC10" s="34">
        <v>0</v>
      </c>
      <c r="AD10" s="32">
        <v>0.02</v>
      </c>
      <c r="AE10" s="34">
        <f t="shared" si="2"/>
        <v>0.02</v>
      </c>
      <c r="AF10" s="31"/>
      <c r="AG10" s="31"/>
    </row>
    <row r="11" spans="2:33">
      <c r="C11" s="33" t="s">
        <v>282</v>
      </c>
      <c r="D11" s="31" t="s">
        <v>1</v>
      </c>
      <c r="E11" s="34">
        <v>0</v>
      </c>
      <c r="F11" s="32">
        <v>0.02</v>
      </c>
      <c r="G11" s="34">
        <f t="shared" si="0"/>
        <v>0.02</v>
      </c>
      <c r="I11" s="33" t="s">
        <v>282</v>
      </c>
      <c r="J11" s="31" t="s">
        <v>1</v>
      </c>
      <c r="K11" s="34">
        <v>0</v>
      </c>
      <c r="L11" s="32">
        <v>0.01</v>
      </c>
      <c r="M11" s="34">
        <v>0.01</v>
      </c>
      <c r="R11" s="33" t="s">
        <v>50</v>
      </c>
      <c r="S11" s="31" t="s">
        <v>1</v>
      </c>
      <c r="T11" s="34">
        <v>0</v>
      </c>
      <c r="U11" s="32">
        <v>0.01</v>
      </c>
      <c r="V11" s="34">
        <f t="shared" si="1"/>
        <v>0.01</v>
      </c>
      <c r="W11" s="31"/>
      <c r="X11" s="31"/>
      <c r="AA11" s="33" t="s">
        <v>2</v>
      </c>
      <c r="AB11" s="31" t="s">
        <v>1</v>
      </c>
      <c r="AC11" s="34">
        <v>0</v>
      </c>
      <c r="AD11" s="32">
        <v>0.05</v>
      </c>
      <c r="AE11" s="34">
        <f t="shared" si="2"/>
        <v>0.05</v>
      </c>
      <c r="AF11" s="31"/>
      <c r="AG11" s="31"/>
    </row>
    <row r="12" spans="2:33">
      <c r="C12" s="33" t="s">
        <v>284</v>
      </c>
      <c r="D12" s="31" t="s">
        <v>4</v>
      </c>
      <c r="E12" s="34">
        <v>0.1</v>
      </c>
      <c r="F12" s="32">
        <v>0</v>
      </c>
      <c r="G12" s="34">
        <f t="shared" si="0"/>
        <v>0.1</v>
      </c>
      <c r="I12" s="33" t="s">
        <v>284</v>
      </c>
      <c r="J12" s="31" t="s">
        <v>4</v>
      </c>
      <c r="K12" s="34">
        <v>0.04</v>
      </c>
      <c r="L12" s="32">
        <v>0</v>
      </c>
      <c r="M12" s="34">
        <v>0.04</v>
      </c>
      <c r="R12" s="33" t="s">
        <v>3</v>
      </c>
      <c r="S12" s="31" t="s">
        <v>4</v>
      </c>
      <c r="T12" s="34">
        <v>0.04</v>
      </c>
      <c r="U12" s="32">
        <v>0</v>
      </c>
      <c r="V12" s="34">
        <f t="shared" si="1"/>
        <v>0.04</v>
      </c>
      <c r="W12" s="31"/>
      <c r="X12" s="31"/>
      <c r="AA12" s="33" t="s">
        <v>160</v>
      </c>
      <c r="AB12" s="31" t="s">
        <v>5</v>
      </c>
      <c r="AC12" s="34">
        <v>0</v>
      </c>
      <c r="AD12" s="32">
        <v>0.02</v>
      </c>
      <c r="AE12" s="34">
        <f t="shared" si="2"/>
        <v>0.02</v>
      </c>
      <c r="AF12" s="31"/>
      <c r="AG12" s="31"/>
    </row>
    <row r="13" spans="2:33">
      <c r="C13" s="33" t="s">
        <v>160</v>
      </c>
      <c r="D13" s="31" t="s">
        <v>5</v>
      </c>
      <c r="E13" s="34">
        <v>0</v>
      </c>
      <c r="F13" s="32">
        <v>0.02</v>
      </c>
      <c r="G13" s="34">
        <f t="shared" si="0"/>
        <v>0.02</v>
      </c>
      <c r="I13" s="33" t="s">
        <v>160</v>
      </c>
      <c r="J13" s="31" t="s">
        <v>5</v>
      </c>
      <c r="K13" s="34">
        <v>0</v>
      </c>
      <c r="L13" s="32">
        <v>0.02</v>
      </c>
      <c r="M13" s="34">
        <v>0.02</v>
      </c>
      <c r="R13" s="33" t="s">
        <v>160</v>
      </c>
      <c r="S13" s="31" t="s">
        <v>5</v>
      </c>
      <c r="T13" s="34">
        <v>0</v>
      </c>
      <c r="U13" s="32">
        <v>0.02</v>
      </c>
      <c r="V13" s="34">
        <f t="shared" si="1"/>
        <v>0.02</v>
      </c>
      <c r="W13" s="31"/>
      <c r="X13" s="31"/>
      <c r="AA13" s="31" t="s">
        <v>6</v>
      </c>
      <c r="AB13" s="31" t="s">
        <v>7</v>
      </c>
      <c r="AC13" s="32">
        <v>0.05</v>
      </c>
      <c r="AD13" s="32">
        <v>0</v>
      </c>
      <c r="AE13" s="32">
        <f t="shared" si="2"/>
        <v>0.05</v>
      </c>
      <c r="AF13" s="31"/>
      <c r="AG13" s="31"/>
    </row>
    <row r="14" spans="2:33">
      <c r="C14" s="33" t="s">
        <v>8</v>
      </c>
      <c r="D14" s="31" t="s">
        <v>161</v>
      </c>
      <c r="E14" s="34">
        <v>0.05</v>
      </c>
      <c r="F14" s="32">
        <v>0</v>
      </c>
      <c r="G14" s="34">
        <f t="shared" si="0"/>
        <v>0.05</v>
      </c>
      <c r="I14" s="33" t="s">
        <v>8</v>
      </c>
      <c r="J14" s="31" t="s">
        <v>161</v>
      </c>
      <c r="K14" s="34">
        <v>0.05</v>
      </c>
      <c r="L14" s="32">
        <v>0</v>
      </c>
      <c r="M14" s="34">
        <v>0.05</v>
      </c>
      <c r="R14" s="33" t="s">
        <v>8</v>
      </c>
      <c r="S14" s="31" t="s">
        <v>161</v>
      </c>
      <c r="T14" s="34">
        <v>0.05</v>
      </c>
      <c r="U14" s="32">
        <v>0</v>
      </c>
      <c r="V14" s="34">
        <f t="shared" si="1"/>
        <v>0.05</v>
      </c>
      <c r="W14" s="31"/>
      <c r="X14" s="31"/>
      <c r="AA14" s="31" t="s">
        <v>9</v>
      </c>
      <c r="AB14" s="31" t="s">
        <v>10</v>
      </c>
      <c r="AC14" s="32">
        <v>0.1</v>
      </c>
      <c r="AD14" s="32">
        <v>0</v>
      </c>
      <c r="AE14" s="32">
        <f t="shared" si="2"/>
        <v>0.1</v>
      </c>
      <c r="AF14" s="31"/>
      <c r="AG14" s="31"/>
    </row>
    <row r="15" spans="2:33">
      <c r="C15" s="31" t="s">
        <v>6</v>
      </c>
      <c r="D15" s="31" t="s">
        <v>7</v>
      </c>
      <c r="E15" s="32">
        <v>0.1</v>
      </c>
      <c r="F15" s="32">
        <v>0</v>
      </c>
      <c r="G15" s="32">
        <f t="shared" si="0"/>
        <v>0.1</v>
      </c>
      <c r="I15" s="31" t="s">
        <v>6</v>
      </c>
      <c r="J15" s="31" t="s">
        <v>7</v>
      </c>
      <c r="K15" s="32">
        <v>0.1</v>
      </c>
      <c r="L15" s="32">
        <v>0</v>
      </c>
      <c r="M15" s="32">
        <v>0.1</v>
      </c>
      <c r="R15" s="31" t="s">
        <v>6</v>
      </c>
      <c r="S15" s="31" t="s">
        <v>7</v>
      </c>
      <c r="T15" s="32">
        <v>0.05</v>
      </c>
      <c r="U15" s="32">
        <v>0</v>
      </c>
      <c r="V15" s="32">
        <f t="shared" si="1"/>
        <v>0.05</v>
      </c>
      <c r="W15" s="31"/>
      <c r="X15" s="31"/>
      <c r="AA15" s="31" t="s">
        <v>11</v>
      </c>
      <c r="AB15" s="31" t="s">
        <v>12</v>
      </c>
      <c r="AC15" s="32">
        <v>0.01</v>
      </c>
      <c r="AD15" s="32">
        <v>0</v>
      </c>
      <c r="AE15" s="32">
        <f t="shared" si="2"/>
        <v>0.01</v>
      </c>
      <c r="AF15" s="31"/>
      <c r="AG15" s="31"/>
    </row>
    <row r="16" spans="2:33">
      <c r="C16" s="31" t="s">
        <v>13</v>
      </c>
      <c r="D16" s="31" t="s">
        <v>10</v>
      </c>
      <c r="E16" s="35">
        <v>0.1</v>
      </c>
      <c r="F16" s="35">
        <v>0</v>
      </c>
      <c r="G16" s="35">
        <f t="shared" si="0"/>
        <v>0.1</v>
      </c>
      <c r="I16" s="31" t="s">
        <v>13</v>
      </c>
      <c r="J16" s="31" t="s">
        <v>10</v>
      </c>
      <c r="K16" s="35">
        <v>0.12</v>
      </c>
      <c r="L16" s="35">
        <v>0</v>
      </c>
      <c r="M16" s="35">
        <v>0.12</v>
      </c>
      <c r="R16" s="31" t="s">
        <v>13</v>
      </c>
      <c r="S16" s="31" t="s">
        <v>10</v>
      </c>
      <c r="T16" s="35">
        <v>0.15</v>
      </c>
      <c r="U16" s="35">
        <v>0</v>
      </c>
      <c r="V16" s="35">
        <f t="shared" si="1"/>
        <v>0.15</v>
      </c>
      <c r="W16" s="31"/>
      <c r="X16" s="31"/>
      <c r="AA16" s="31" t="s">
        <v>14</v>
      </c>
      <c r="AB16" s="31" t="s">
        <v>15</v>
      </c>
      <c r="AC16" s="32">
        <v>0.01</v>
      </c>
      <c r="AD16" s="32">
        <v>0</v>
      </c>
      <c r="AE16" s="32">
        <f t="shared" si="2"/>
        <v>0.01</v>
      </c>
      <c r="AF16" s="31"/>
      <c r="AG16" s="31"/>
    </row>
    <row r="17" spans="3:33">
      <c r="C17" s="31" t="s">
        <v>11</v>
      </c>
      <c r="D17" s="31" t="s">
        <v>16</v>
      </c>
      <c r="E17" s="35">
        <v>7.0000000000000007E-2</v>
      </c>
      <c r="F17" s="35">
        <v>0</v>
      </c>
      <c r="G17" s="35">
        <f t="shared" si="0"/>
        <v>7.0000000000000007E-2</v>
      </c>
      <c r="I17" s="31" t="s">
        <v>11</v>
      </c>
      <c r="J17" s="31" t="s">
        <v>16</v>
      </c>
      <c r="K17" s="35">
        <v>7.0000000000000007E-2</v>
      </c>
      <c r="L17" s="35">
        <v>0</v>
      </c>
      <c r="M17" s="35">
        <v>7.0000000000000007E-2</v>
      </c>
      <c r="R17" s="31" t="s">
        <v>11</v>
      </c>
      <c r="S17" s="31" t="s">
        <v>16</v>
      </c>
      <c r="T17" s="35">
        <v>7.0000000000000007E-2</v>
      </c>
      <c r="U17" s="35">
        <v>0</v>
      </c>
      <c r="V17" s="35">
        <f t="shared" si="1"/>
        <v>7.0000000000000007E-2</v>
      </c>
      <c r="W17" s="31"/>
      <c r="X17" s="31"/>
      <c r="AA17" s="31" t="s">
        <v>17</v>
      </c>
      <c r="AB17" s="31" t="s">
        <v>70</v>
      </c>
      <c r="AC17" s="32">
        <v>0.02</v>
      </c>
      <c r="AD17" s="32">
        <v>0</v>
      </c>
      <c r="AE17" s="32">
        <f t="shared" si="2"/>
        <v>0.02</v>
      </c>
      <c r="AF17" s="31"/>
      <c r="AG17" s="31"/>
    </row>
    <row r="18" spans="3:33">
      <c r="C18" s="31" t="s">
        <v>283</v>
      </c>
      <c r="D18" s="31" t="s">
        <v>18</v>
      </c>
      <c r="E18" s="35">
        <v>0.05</v>
      </c>
      <c r="F18" s="35">
        <v>0</v>
      </c>
      <c r="G18" s="35">
        <f t="shared" si="0"/>
        <v>0.05</v>
      </c>
      <c r="I18" s="31" t="s">
        <v>283</v>
      </c>
      <c r="J18" s="31" t="s">
        <v>18</v>
      </c>
      <c r="K18" s="35">
        <v>0.05</v>
      </c>
      <c r="L18" s="35">
        <v>0</v>
      </c>
      <c r="M18" s="35">
        <v>0.05</v>
      </c>
      <c r="R18" s="31" t="s">
        <v>14</v>
      </c>
      <c r="S18" s="31" t="s">
        <v>18</v>
      </c>
      <c r="T18" s="35">
        <v>0.09</v>
      </c>
      <c r="U18" s="35">
        <v>0</v>
      </c>
      <c r="V18" s="35">
        <f t="shared" si="1"/>
        <v>0.09</v>
      </c>
      <c r="W18" s="31"/>
      <c r="X18" s="31"/>
    </row>
    <row r="19" spans="3:33">
      <c r="C19" s="31" t="s">
        <v>17</v>
      </c>
      <c r="D19" s="31" t="s">
        <v>70</v>
      </c>
      <c r="E19" s="35">
        <v>0.04</v>
      </c>
      <c r="F19" s="35">
        <v>0</v>
      </c>
      <c r="G19" s="35">
        <f t="shared" si="0"/>
        <v>0.04</v>
      </c>
      <c r="I19" s="31" t="s">
        <v>17</v>
      </c>
      <c r="J19" s="31" t="s">
        <v>70</v>
      </c>
      <c r="K19" s="35">
        <v>0.03</v>
      </c>
      <c r="L19" s="35">
        <v>0</v>
      </c>
      <c r="M19" s="35">
        <v>0.03</v>
      </c>
      <c r="R19" s="31" t="s">
        <v>17</v>
      </c>
      <c r="S19" s="31" t="s">
        <v>70</v>
      </c>
      <c r="T19" s="35">
        <v>0.03</v>
      </c>
      <c r="U19" s="35">
        <v>0</v>
      </c>
      <c r="V19" s="35">
        <f t="shared" si="1"/>
        <v>0.03</v>
      </c>
      <c r="W19" s="31"/>
      <c r="X19" s="31"/>
      <c r="AC19" s="36">
        <f>SUM(AC7:AC17)</f>
        <v>0.69000000000000006</v>
      </c>
      <c r="AD19" s="36">
        <f>SUM(AD7:AD17)</f>
        <v>0.59000000000000008</v>
      </c>
      <c r="AE19" s="36">
        <f>SUM(AE7:AE17)</f>
        <v>1.2800000000000002</v>
      </c>
      <c r="AF19" s="37">
        <f>100000*1.4</f>
        <v>140000</v>
      </c>
      <c r="AG19" s="37">
        <f>AF19*AE19</f>
        <v>179200.00000000003</v>
      </c>
    </row>
    <row r="20" spans="3:33">
      <c r="C20" s="243" t="s">
        <v>295</v>
      </c>
      <c r="D20" s="243" t="s">
        <v>296</v>
      </c>
      <c r="E20" s="244">
        <v>0.4</v>
      </c>
      <c r="F20" s="244">
        <v>0.6</v>
      </c>
      <c r="G20" s="244">
        <f t="shared" si="0"/>
        <v>1</v>
      </c>
      <c r="J20" s="38" t="s">
        <v>33</v>
      </c>
      <c r="K20" s="39">
        <v>1.5140000000000005</v>
      </c>
      <c r="L20" s="39">
        <v>0.84000000000000008</v>
      </c>
      <c r="M20" s="39">
        <v>2.3539999999999996</v>
      </c>
      <c r="S20" s="40" t="s">
        <v>33</v>
      </c>
      <c r="T20" s="41">
        <f>SUM(T7:T19)</f>
        <v>1.5100000000000002</v>
      </c>
      <c r="U20" s="41">
        <f t="shared" ref="U20:V20" si="3">SUM(U7:U19)</f>
        <v>0.9700000000000002</v>
      </c>
      <c r="V20" s="41">
        <f t="shared" si="3"/>
        <v>2.4799999999999991</v>
      </c>
      <c r="W20" s="42">
        <v>160000</v>
      </c>
      <c r="X20" s="42">
        <f>W20*V20</f>
        <v>396799.99999999988</v>
      </c>
      <c r="AC20" s="43">
        <f>AC19/$AE$19</f>
        <v>0.53906249999999989</v>
      </c>
      <c r="AD20" s="43">
        <f>AD19/$AE$19</f>
        <v>0.4609375</v>
      </c>
    </row>
    <row r="21" spans="3:33" ht="15">
      <c r="D21" s="242" t="s">
        <v>33</v>
      </c>
      <c r="E21" s="39">
        <f>SUM(E7:E20)</f>
        <v>1.2600000000000002</v>
      </c>
      <c r="F21" s="39">
        <f>SUM(F7:F20)</f>
        <v>1.3599999999999999</v>
      </c>
      <c r="G21" s="39">
        <f>SUM(G7:G20)</f>
        <v>2.6200000000000006</v>
      </c>
      <c r="K21" s="58">
        <v>242240.00000000009</v>
      </c>
      <c r="L21" s="58">
        <v>134400</v>
      </c>
      <c r="M21" s="58">
        <v>376639.99999999994</v>
      </c>
      <c r="T21" s="125">
        <f>T20*$W$20</f>
        <v>241600.00000000003</v>
      </c>
      <c r="U21" s="125">
        <f t="shared" ref="U21:V21" si="4">U20*$W$20</f>
        <v>155200.00000000003</v>
      </c>
      <c r="V21" s="125">
        <f t="shared" si="4"/>
        <v>396799.99999999988</v>
      </c>
      <c r="AC21" s="44">
        <f>AG19*AD20</f>
        <v>82600.000000000015</v>
      </c>
      <c r="AD21" s="44">
        <f>AG19*AC20</f>
        <v>96600</v>
      </c>
    </row>
    <row r="22" spans="3:33" ht="15" customHeight="1">
      <c r="E22" s="58">
        <f>E21*$E$2</f>
        <v>201600.00000000003</v>
      </c>
      <c r="F22" s="58">
        <f>F21*$E$2</f>
        <v>217599.99999999997</v>
      </c>
      <c r="G22" s="58">
        <f>G21*$E$2</f>
        <v>419200.00000000012</v>
      </c>
    </row>
    <row r="23" spans="3:33" ht="15" customHeight="1"/>
    <row r="24" spans="3:33" ht="15" customHeight="1">
      <c r="D24" s="24" t="s">
        <v>300</v>
      </c>
    </row>
    <row r="25" spans="3:33">
      <c r="D25" s="242" t="s">
        <v>33</v>
      </c>
      <c r="E25" s="39">
        <f>SUM(E7:E19)</f>
        <v>0.8600000000000001</v>
      </c>
      <c r="F25" s="39">
        <f t="shared" ref="F25:G25" si="5">SUM(F7:F19)</f>
        <v>0.76</v>
      </c>
      <c r="G25" s="39">
        <f t="shared" si="5"/>
        <v>1.6200000000000006</v>
      </c>
    </row>
    <row r="26" spans="3:33" ht="15">
      <c r="E26" s="58">
        <f>E25*$E$2</f>
        <v>137600.00000000003</v>
      </c>
      <c r="F26" s="58">
        <f>F25*$E$2</f>
        <v>121600</v>
      </c>
      <c r="G26" s="58">
        <f>G25*$E$2</f>
        <v>259200.00000000009</v>
      </c>
    </row>
    <row r="29" spans="3:33">
      <c r="F29" s="44">
        <f>F20*E2</f>
        <v>96000</v>
      </c>
    </row>
  </sheetData>
  <phoneticPr fontId="19"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codeName="Sheet6"/>
  <dimension ref="B1:S51"/>
  <sheetViews>
    <sheetView workbookViewId="0">
      <selection activeCell="F19" sqref="F19"/>
    </sheetView>
  </sheetViews>
  <sheetFormatPr defaultColWidth="8.85546875" defaultRowHeight="15"/>
  <cols>
    <col min="2" max="2" width="55" customWidth="1"/>
    <col min="3" max="3" width="13.7109375" customWidth="1"/>
    <col min="9" max="9" width="9.42578125" customWidth="1"/>
    <col min="10" max="10" width="9.5703125" customWidth="1"/>
  </cols>
  <sheetData>
    <row r="1" spans="2:19" ht="23.25">
      <c r="B1" s="76" t="s">
        <v>129</v>
      </c>
    </row>
    <row r="2" spans="2:19">
      <c r="B2" s="45" t="str">
        <f>'Table of Contents'!B2</f>
        <v>Staff Proposed - October, 2013</v>
      </c>
    </row>
    <row r="4" spans="2:19" ht="60">
      <c r="B4" s="51" t="s">
        <v>162</v>
      </c>
      <c r="C4" s="51" t="s">
        <v>93</v>
      </c>
      <c r="D4" s="51" t="s">
        <v>20</v>
      </c>
      <c r="E4" s="52"/>
      <c r="F4" s="52"/>
      <c r="G4" s="52"/>
      <c r="H4" s="52"/>
      <c r="I4" s="52"/>
      <c r="J4" s="52"/>
      <c r="K4" s="52"/>
      <c r="L4" s="52"/>
      <c r="M4" s="52"/>
      <c r="N4" s="52"/>
      <c r="O4" s="47"/>
      <c r="P4" s="87" t="s">
        <v>77</v>
      </c>
      <c r="Q4" s="87" t="s">
        <v>29</v>
      </c>
      <c r="R4" s="87" t="s">
        <v>30</v>
      </c>
      <c r="S4" s="47"/>
    </row>
    <row r="5" spans="2:19">
      <c r="B5" t="s">
        <v>181</v>
      </c>
      <c r="C5" s="3">
        <v>8000</v>
      </c>
      <c r="D5" s="53" t="s">
        <v>91</v>
      </c>
      <c r="E5" s="53"/>
      <c r="F5" s="53"/>
      <c r="G5" s="53"/>
      <c r="H5" s="53"/>
      <c r="I5" s="53"/>
      <c r="J5" s="53"/>
      <c r="K5" s="53"/>
      <c r="L5" s="54"/>
      <c r="M5" s="54"/>
      <c r="N5" s="54"/>
      <c r="O5" s="86"/>
      <c r="P5" s="50">
        <v>6000</v>
      </c>
      <c r="Q5" s="50">
        <v>1000</v>
      </c>
      <c r="R5" s="50">
        <v>1000</v>
      </c>
      <c r="S5" s="47"/>
    </row>
    <row r="6" spans="2:19">
      <c r="B6" t="s">
        <v>182</v>
      </c>
      <c r="C6" s="3">
        <v>3000</v>
      </c>
      <c r="D6" s="53" t="s">
        <v>94</v>
      </c>
      <c r="E6" s="55"/>
      <c r="F6" s="55"/>
      <c r="G6" s="55"/>
      <c r="H6" s="55"/>
      <c r="I6" s="55"/>
      <c r="J6" s="55"/>
      <c r="K6" s="55"/>
      <c r="L6" s="56"/>
      <c r="M6" s="56"/>
      <c r="N6" s="56"/>
      <c r="O6" s="47"/>
      <c r="P6" s="50">
        <v>2000</v>
      </c>
      <c r="Q6" s="50">
        <v>1000</v>
      </c>
      <c r="R6" s="50"/>
      <c r="S6" s="47"/>
    </row>
    <row r="7" spans="2:19">
      <c r="B7" t="s">
        <v>183</v>
      </c>
      <c r="C7" s="3">
        <v>8000</v>
      </c>
      <c r="D7" s="53" t="s">
        <v>95</v>
      </c>
      <c r="E7" s="56"/>
      <c r="F7" s="56"/>
      <c r="G7" s="56"/>
      <c r="H7" s="56"/>
      <c r="I7" s="56"/>
      <c r="J7" s="56"/>
      <c r="K7" s="56"/>
      <c r="L7" s="56"/>
      <c r="M7" s="56"/>
      <c r="N7" s="56"/>
      <c r="O7" s="47"/>
      <c r="P7" s="50">
        <v>4000</v>
      </c>
      <c r="Q7" s="7">
        <v>2000</v>
      </c>
      <c r="R7" s="7">
        <v>2000</v>
      </c>
      <c r="S7" s="47"/>
    </row>
    <row r="8" spans="2:19">
      <c r="B8" t="s">
        <v>82</v>
      </c>
      <c r="C8" s="3">
        <v>20000</v>
      </c>
      <c r="D8" s="53" t="s">
        <v>163</v>
      </c>
      <c r="E8" s="56"/>
      <c r="F8" s="56"/>
      <c r="G8" s="56"/>
      <c r="H8" s="56"/>
      <c r="I8" s="56"/>
      <c r="J8" s="56"/>
      <c r="K8" s="56"/>
      <c r="L8" s="56"/>
      <c r="M8" s="56"/>
      <c r="N8" s="56"/>
      <c r="O8" s="47"/>
      <c r="P8" s="48">
        <v>12000</v>
      </c>
      <c r="Q8" s="48">
        <v>6000</v>
      </c>
      <c r="R8" s="48">
        <v>2000</v>
      </c>
      <c r="S8" s="47"/>
    </row>
    <row r="9" spans="2:19">
      <c r="B9" t="s">
        <v>111</v>
      </c>
      <c r="C9" s="3">
        <v>50000</v>
      </c>
      <c r="D9" s="53" t="s">
        <v>86</v>
      </c>
      <c r="E9" s="56"/>
      <c r="F9" s="56"/>
      <c r="G9" s="56"/>
      <c r="H9" s="56"/>
      <c r="I9" s="56"/>
      <c r="J9" s="56"/>
      <c r="K9" s="56"/>
      <c r="L9" s="56"/>
      <c r="M9" s="56"/>
      <c r="N9" s="56"/>
      <c r="O9" s="47"/>
      <c r="P9" s="48">
        <v>40000</v>
      </c>
      <c r="Q9" s="48">
        <v>6000</v>
      </c>
      <c r="R9" s="48">
        <v>3000</v>
      </c>
      <c r="S9" s="47"/>
    </row>
    <row r="10" spans="2:19">
      <c r="B10" t="s">
        <v>87</v>
      </c>
      <c r="C10" s="3">
        <v>23000</v>
      </c>
      <c r="D10" s="53" t="s">
        <v>85</v>
      </c>
      <c r="E10" s="55"/>
      <c r="F10" s="55"/>
      <c r="G10" s="55"/>
      <c r="H10" s="55"/>
      <c r="I10" s="55"/>
      <c r="J10" s="55"/>
      <c r="K10" s="55"/>
      <c r="L10" s="56"/>
      <c r="M10" s="56"/>
      <c r="N10" s="56"/>
      <c r="O10" s="47"/>
      <c r="P10" s="48">
        <v>15000</v>
      </c>
      <c r="Q10" s="48">
        <v>6000</v>
      </c>
      <c r="R10" s="48">
        <v>2000</v>
      </c>
      <c r="S10" s="47"/>
    </row>
    <row r="11" spans="2:19">
      <c r="B11" t="s">
        <v>230</v>
      </c>
      <c r="C11" s="3">
        <v>60000</v>
      </c>
      <c r="D11" s="53" t="s">
        <v>88</v>
      </c>
      <c r="E11" s="56"/>
      <c r="F11" s="56"/>
      <c r="G11" s="56"/>
      <c r="H11" s="56"/>
      <c r="I11" s="56"/>
      <c r="J11" s="56"/>
      <c r="K11" s="56"/>
      <c r="L11" s="56"/>
      <c r="M11" s="56"/>
      <c r="N11" s="56"/>
      <c r="O11" s="47"/>
      <c r="P11" s="50"/>
      <c r="Q11" s="50"/>
      <c r="R11" s="50"/>
      <c r="S11" s="47"/>
    </row>
    <row r="12" spans="2:19">
      <c r="B12" t="s">
        <v>229</v>
      </c>
      <c r="C12" s="3">
        <v>20000</v>
      </c>
      <c r="D12" s="53" t="s">
        <v>89</v>
      </c>
      <c r="E12" s="56"/>
      <c r="F12" s="56"/>
      <c r="G12" s="56"/>
      <c r="H12" s="56"/>
      <c r="I12" s="56"/>
      <c r="J12" s="56"/>
      <c r="K12" s="56"/>
      <c r="L12" s="56"/>
      <c r="M12" s="56"/>
      <c r="N12" s="56"/>
      <c r="O12" s="47"/>
      <c r="P12" s="50"/>
      <c r="Q12" s="50"/>
      <c r="R12" s="50"/>
      <c r="S12" s="47"/>
    </row>
    <row r="13" spans="2:19">
      <c r="B13" t="s">
        <v>231</v>
      </c>
      <c r="C13" s="3">
        <v>45000</v>
      </c>
      <c r="D13" s="53" t="s">
        <v>84</v>
      </c>
      <c r="E13" s="55"/>
      <c r="F13" s="55"/>
      <c r="G13" s="55"/>
      <c r="H13" s="55"/>
      <c r="I13" s="55"/>
      <c r="J13" s="55"/>
      <c r="K13" s="55"/>
      <c r="L13" s="56"/>
      <c r="M13" s="56"/>
      <c r="N13" s="56"/>
      <c r="O13" s="47"/>
      <c r="P13" s="50"/>
      <c r="Q13" s="50"/>
      <c r="R13" s="50"/>
      <c r="S13" s="47"/>
    </row>
    <row r="14" spans="2:19">
      <c r="B14" t="s">
        <v>228</v>
      </c>
      <c r="C14" s="3">
        <v>80000</v>
      </c>
      <c r="D14" s="53" t="s">
        <v>90</v>
      </c>
      <c r="E14" s="56"/>
      <c r="F14" s="56"/>
      <c r="G14" s="56"/>
      <c r="H14" s="56"/>
      <c r="I14" s="56"/>
      <c r="J14" s="56"/>
      <c r="K14" s="56"/>
      <c r="L14" s="56"/>
      <c r="M14" s="56"/>
      <c r="N14" s="56"/>
      <c r="O14" s="47"/>
      <c r="P14" s="50"/>
      <c r="Q14" s="50"/>
      <c r="R14" s="50"/>
      <c r="S14" s="47"/>
    </row>
    <row r="15" spans="2:19">
      <c r="B15" t="s">
        <v>83</v>
      </c>
      <c r="C15" s="3">
        <v>12000</v>
      </c>
      <c r="D15" s="53" t="s">
        <v>227</v>
      </c>
      <c r="E15" s="55"/>
      <c r="F15" s="55"/>
      <c r="G15" s="55"/>
      <c r="H15" s="55"/>
      <c r="I15" s="55"/>
      <c r="J15" s="55"/>
      <c r="K15" s="55"/>
      <c r="L15" s="55"/>
      <c r="M15" s="55"/>
      <c r="N15" s="55"/>
      <c r="O15" s="78"/>
      <c r="P15" s="50"/>
      <c r="Q15" s="50"/>
      <c r="R15" s="50"/>
      <c r="S15" s="47"/>
    </row>
    <row r="18" spans="2:14">
      <c r="B18" s="51" t="s">
        <v>96</v>
      </c>
      <c r="C18" s="51" t="s">
        <v>62</v>
      </c>
      <c r="D18" s="51" t="s">
        <v>58</v>
      </c>
      <c r="E18" s="51" t="s">
        <v>59</v>
      </c>
      <c r="F18" s="51" t="s">
        <v>60</v>
      </c>
      <c r="G18" s="51" t="s">
        <v>61</v>
      </c>
      <c r="H18" s="52"/>
      <c r="I18" s="51" t="s">
        <v>24</v>
      </c>
      <c r="J18" s="51" t="s">
        <v>25</v>
      </c>
      <c r="K18" s="52"/>
      <c r="L18" s="51" t="s">
        <v>26</v>
      </c>
      <c r="M18" s="51" t="s">
        <v>27</v>
      </c>
      <c r="N18" s="51" t="s">
        <v>28</v>
      </c>
    </row>
    <row r="19" spans="2:14">
      <c r="C19" s="4">
        <f>D19*12</f>
        <v>124800</v>
      </c>
      <c r="D19" s="4">
        <f>E19*(52/12)</f>
        <v>10400</v>
      </c>
      <c r="E19" s="4">
        <f>F19*5</f>
        <v>2400</v>
      </c>
      <c r="F19" s="4">
        <f>G19*8</f>
        <v>480</v>
      </c>
      <c r="G19" s="3">
        <v>60</v>
      </c>
      <c r="I19" s="4">
        <f>F19*52</f>
        <v>24960</v>
      </c>
      <c r="J19" s="4">
        <f>I19*2</f>
        <v>49920</v>
      </c>
      <c r="L19" s="4">
        <f>F19*12</f>
        <v>5760</v>
      </c>
      <c r="M19" s="4">
        <f>L19*2</f>
        <v>11520</v>
      </c>
      <c r="N19" s="4">
        <f>L19*3</f>
        <v>17280</v>
      </c>
    </row>
    <row r="20" spans="2:14">
      <c r="C20" s="4">
        <f>D20*12</f>
        <v>166400</v>
      </c>
      <c r="D20" s="4">
        <f>E20*(52/12)</f>
        <v>13866.666666666666</v>
      </c>
      <c r="E20" s="4">
        <f>F20*5</f>
        <v>3200</v>
      </c>
      <c r="F20" s="4">
        <f>G20*8</f>
        <v>640</v>
      </c>
      <c r="G20" s="3">
        <v>80</v>
      </c>
      <c r="I20" s="4">
        <f t="shared" ref="I20:I25" si="0">F20*52</f>
        <v>33280</v>
      </c>
      <c r="J20" s="4">
        <f t="shared" ref="J20:J25" si="1">I20*2</f>
        <v>66560</v>
      </c>
      <c r="L20" s="4">
        <f t="shared" ref="L20:L25" si="2">F20*12</f>
        <v>7680</v>
      </c>
      <c r="M20" s="4">
        <f t="shared" ref="M20:M25" si="3">L20*2</f>
        <v>15360</v>
      </c>
      <c r="N20" s="4">
        <f t="shared" ref="N20:N25" si="4">L20*3</f>
        <v>23040</v>
      </c>
    </row>
    <row r="21" spans="2:14">
      <c r="C21" s="4">
        <f t="shared" ref="C21:C25" si="5">D21*12</f>
        <v>208000</v>
      </c>
      <c r="D21" s="4">
        <f t="shared" ref="D21:D25" si="6">E21*(52/12)</f>
        <v>17333.333333333332</v>
      </c>
      <c r="E21" s="4">
        <f t="shared" ref="E21:E25" si="7">F21*5</f>
        <v>4000</v>
      </c>
      <c r="F21" s="4">
        <f t="shared" ref="F21:F25" si="8">G21*8</f>
        <v>800</v>
      </c>
      <c r="G21" s="3">
        <v>100</v>
      </c>
      <c r="I21" s="4">
        <f t="shared" si="0"/>
        <v>41600</v>
      </c>
      <c r="J21" s="4">
        <f t="shared" si="1"/>
        <v>83200</v>
      </c>
      <c r="L21" s="4">
        <f t="shared" si="2"/>
        <v>9600</v>
      </c>
      <c r="M21" s="4">
        <f t="shared" si="3"/>
        <v>19200</v>
      </c>
      <c r="N21" s="4">
        <f t="shared" si="4"/>
        <v>28800</v>
      </c>
    </row>
    <row r="22" spans="2:14">
      <c r="B22" s="6"/>
      <c r="C22" s="4">
        <f t="shared" si="5"/>
        <v>249600</v>
      </c>
      <c r="D22" s="4">
        <f t="shared" si="6"/>
        <v>20800</v>
      </c>
      <c r="E22" s="4">
        <f t="shared" si="7"/>
        <v>4800</v>
      </c>
      <c r="F22" s="4">
        <f t="shared" si="8"/>
        <v>960</v>
      </c>
      <c r="G22" s="3">
        <v>120</v>
      </c>
      <c r="I22" s="4">
        <f t="shared" si="0"/>
        <v>49920</v>
      </c>
      <c r="J22" s="4">
        <f t="shared" si="1"/>
        <v>99840</v>
      </c>
      <c r="L22" s="4">
        <f t="shared" si="2"/>
        <v>11520</v>
      </c>
      <c r="M22" s="4">
        <f t="shared" si="3"/>
        <v>23040</v>
      </c>
      <c r="N22" s="4">
        <f t="shared" si="4"/>
        <v>34560</v>
      </c>
    </row>
    <row r="23" spans="2:14">
      <c r="C23" s="4">
        <f t="shared" si="5"/>
        <v>312000</v>
      </c>
      <c r="D23" s="4">
        <f t="shared" si="6"/>
        <v>26000</v>
      </c>
      <c r="E23" s="4">
        <f t="shared" si="7"/>
        <v>6000</v>
      </c>
      <c r="F23" s="4">
        <f t="shared" si="8"/>
        <v>1200</v>
      </c>
      <c r="G23" s="3">
        <v>150</v>
      </c>
      <c r="I23" s="4">
        <f t="shared" si="0"/>
        <v>62400</v>
      </c>
      <c r="J23" s="4">
        <f t="shared" si="1"/>
        <v>124800</v>
      </c>
      <c r="L23" s="4">
        <f t="shared" si="2"/>
        <v>14400</v>
      </c>
      <c r="M23" s="4">
        <f t="shared" si="3"/>
        <v>28800</v>
      </c>
      <c r="N23" s="4">
        <f t="shared" si="4"/>
        <v>43200</v>
      </c>
    </row>
    <row r="24" spans="2:14">
      <c r="C24" s="4">
        <f t="shared" si="5"/>
        <v>416000</v>
      </c>
      <c r="D24" s="4">
        <f t="shared" si="6"/>
        <v>34666.666666666664</v>
      </c>
      <c r="E24" s="4">
        <f t="shared" si="7"/>
        <v>8000</v>
      </c>
      <c r="F24" s="4">
        <f t="shared" si="8"/>
        <v>1600</v>
      </c>
      <c r="G24" s="3">
        <v>200</v>
      </c>
      <c r="I24" s="4">
        <f t="shared" si="0"/>
        <v>83200</v>
      </c>
      <c r="J24" s="4">
        <f t="shared" si="1"/>
        <v>166400</v>
      </c>
      <c r="L24" s="4">
        <f t="shared" si="2"/>
        <v>19200</v>
      </c>
      <c r="M24" s="4">
        <f t="shared" si="3"/>
        <v>38400</v>
      </c>
      <c r="N24" s="4">
        <f t="shared" si="4"/>
        <v>57600</v>
      </c>
    </row>
    <row r="25" spans="2:14">
      <c r="C25" s="4">
        <f t="shared" si="5"/>
        <v>519999.99999999994</v>
      </c>
      <c r="D25" s="4">
        <f t="shared" si="6"/>
        <v>43333.333333333328</v>
      </c>
      <c r="E25" s="4">
        <f t="shared" si="7"/>
        <v>10000</v>
      </c>
      <c r="F25" s="4">
        <f t="shared" si="8"/>
        <v>2000</v>
      </c>
      <c r="G25" s="3">
        <v>250</v>
      </c>
      <c r="I25" s="4">
        <f t="shared" si="0"/>
        <v>104000</v>
      </c>
      <c r="J25" s="4">
        <f t="shared" si="1"/>
        <v>208000</v>
      </c>
      <c r="L25" s="4">
        <f t="shared" si="2"/>
        <v>24000</v>
      </c>
      <c r="M25" s="4">
        <f t="shared" si="3"/>
        <v>48000</v>
      </c>
      <c r="N25" s="4">
        <f t="shared" si="4"/>
        <v>72000</v>
      </c>
    </row>
    <row r="28" spans="2:14">
      <c r="B28" s="51" t="s">
        <v>92</v>
      </c>
      <c r="C28" s="51" t="s">
        <v>63</v>
      </c>
      <c r="D28" s="51" t="s">
        <v>64</v>
      </c>
      <c r="E28" s="51" t="s">
        <v>65</v>
      </c>
      <c r="F28" s="51" t="s">
        <v>66</v>
      </c>
      <c r="G28" s="51"/>
      <c r="H28" s="51" t="s">
        <v>67</v>
      </c>
      <c r="I28" s="51" t="s">
        <v>68</v>
      </c>
      <c r="J28" s="51" t="s">
        <v>69</v>
      </c>
      <c r="K28" s="51"/>
      <c r="L28" s="51"/>
      <c r="M28" s="51"/>
      <c r="N28" s="52"/>
    </row>
    <row r="29" spans="2:14">
      <c r="C29" s="3">
        <v>100</v>
      </c>
      <c r="D29" s="4">
        <f>$C29*8</f>
        <v>800</v>
      </c>
      <c r="E29" s="4">
        <f>$C29*16</f>
        <v>1600</v>
      </c>
      <c r="F29" s="4">
        <f>$C29*24</f>
        <v>2400</v>
      </c>
      <c r="H29" s="4">
        <f>$C29*40</f>
        <v>4000</v>
      </c>
      <c r="I29" s="4">
        <f>$C29*80</f>
        <v>8000</v>
      </c>
      <c r="J29" s="4">
        <f>$C29*120</f>
        <v>12000</v>
      </c>
      <c r="L29" s="4"/>
    </row>
    <row r="30" spans="2:14">
      <c r="C30" s="3">
        <v>120</v>
      </c>
      <c r="D30" s="4">
        <f t="shared" ref="D30:D32" si="9">$C30*8</f>
        <v>960</v>
      </c>
      <c r="E30" s="4">
        <f t="shared" ref="E30:E32" si="10">$C30*16</f>
        <v>1920</v>
      </c>
      <c r="F30" s="4">
        <f t="shared" ref="F30:F32" si="11">$C30*24</f>
        <v>2880</v>
      </c>
      <c r="H30" s="4">
        <f t="shared" ref="H30:H32" si="12">$C30*40</f>
        <v>4800</v>
      </c>
      <c r="I30" s="4">
        <f t="shared" ref="I30:I32" si="13">$C30*80</f>
        <v>9600</v>
      </c>
      <c r="J30" s="4">
        <f t="shared" ref="J30:J32" si="14">$C30*120</f>
        <v>14400</v>
      </c>
    </row>
    <row r="31" spans="2:14">
      <c r="C31" s="3">
        <v>150</v>
      </c>
      <c r="D31" s="4">
        <f t="shared" si="9"/>
        <v>1200</v>
      </c>
      <c r="E31" s="4">
        <f t="shared" si="10"/>
        <v>2400</v>
      </c>
      <c r="F31" s="4">
        <f t="shared" si="11"/>
        <v>3600</v>
      </c>
      <c r="H31" s="4">
        <f t="shared" si="12"/>
        <v>6000</v>
      </c>
      <c r="I31" s="4">
        <f t="shared" si="13"/>
        <v>12000</v>
      </c>
      <c r="J31" s="4">
        <f t="shared" si="14"/>
        <v>18000</v>
      </c>
    </row>
    <row r="32" spans="2:14">
      <c r="C32" s="3">
        <v>200</v>
      </c>
      <c r="D32" s="4">
        <f t="shared" si="9"/>
        <v>1600</v>
      </c>
      <c r="E32" s="4">
        <f t="shared" si="10"/>
        <v>3200</v>
      </c>
      <c r="F32" s="4">
        <f t="shared" si="11"/>
        <v>4800</v>
      </c>
      <c r="H32" s="4">
        <f t="shared" si="12"/>
        <v>8000</v>
      </c>
      <c r="I32" s="4">
        <f t="shared" si="13"/>
        <v>16000</v>
      </c>
      <c r="J32" s="4">
        <f t="shared" si="14"/>
        <v>24000</v>
      </c>
    </row>
    <row r="35" spans="2:13" ht="45">
      <c r="B35" s="51" t="s">
        <v>99</v>
      </c>
      <c r="C35" s="73" t="s">
        <v>100</v>
      </c>
      <c r="D35" s="74" t="s">
        <v>101</v>
      </c>
      <c r="E35" s="74" t="s">
        <v>102</v>
      </c>
      <c r="F35" s="74" t="s">
        <v>103</v>
      </c>
      <c r="G35" s="75" t="s">
        <v>104</v>
      </c>
      <c r="H35" s="52"/>
      <c r="I35" s="52"/>
      <c r="J35" s="52"/>
      <c r="K35" s="52"/>
      <c r="L35" s="52"/>
      <c r="M35" s="52"/>
    </row>
    <row r="36" spans="2:13">
      <c r="C36" s="59">
        <v>1</v>
      </c>
      <c r="D36" s="60">
        <f>F36*52</f>
        <v>2080</v>
      </c>
      <c r="E36" s="61">
        <f>D36/12</f>
        <v>173.33333333333334</v>
      </c>
      <c r="F36" s="60">
        <f>40</f>
        <v>40</v>
      </c>
      <c r="G36" s="62">
        <f>E36/8</f>
        <v>21.666666666666668</v>
      </c>
    </row>
    <row r="37" spans="2:13">
      <c r="C37" s="59">
        <v>0.35</v>
      </c>
      <c r="D37" s="60">
        <f t="shared" ref="D37:D45" si="15">F37*52</f>
        <v>728</v>
      </c>
      <c r="E37" s="61">
        <f t="shared" ref="E37:E45" si="16">D37/12</f>
        <v>60.666666666666664</v>
      </c>
      <c r="F37" s="60">
        <f>C37*$F$36</f>
        <v>14</v>
      </c>
      <c r="G37" s="62">
        <f t="shared" ref="G37:G45" si="17">E37/8</f>
        <v>7.583333333333333</v>
      </c>
    </row>
    <row r="38" spans="2:13">
      <c r="C38" s="59">
        <v>0.3</v>
      </c>
      <c r="D38" s="60">
        <f t="shared" si="15"/>
        <v>624</v>
      </c>
      <c r="E38" s="61">
        <f t="shared" si="16"/>
        <v>52</v>
      </c>
      <c r="F38" s="60">
        <f t="shared" ref="F38:F45" si="18">C38*$F$36</f>
        <v>12</v>
      </c>
      <c r="G38" s="62">
        <f t="shared" si="17"/>
        <v>6.5</v>
      </c>
    </row>
    <row r="39" spans="2:13">
      <c r="C39" s="59">
        <v>0.25</v>
      </c>
      <c r="D39" s="60">
        <f t="shared" si="15"/>
        <v>520</v>
      </c>
      <c r="E39" s="61">
        <f t="shared" si="16"/>
        <v>43.333333333333336</v>
      </c>
      <c r="F39" s="60">
        <f t="shared" si="18"/>
        <v>10</v>
      </c>
      <c r="G39" s="62">
        <f t="shared" si="17"/>
        <v>5.416666666666667</v>
      </c>
    </row>
    <row r="40" spans="2:13">
      <c r="C40" s="59">
        <v>0.2</v>
      </c>
      <c r="D40" s="60">
        <f t="shared" si="15"/>
        <v>416</v>
      </c>
      <c r="E40" s="61">
        <f t="shared" si="16"/>
        <v>34.666666666666664</v>
      </c>
      <c r="F40" s="60">
        <f t="shared" si="18"/>
        <v>8</v>
      </c>
      <c r="G40" s="62">
        <f t="shared" si="17"/>
        <v>4.333333333333333</v>
      </c>
    </row>
    <row r="41" spans="2:13">
      <c r="C41" s="59">
        <v>0.15</v>
      </c>
      <c r="D41" s="60">
        <f t="shared" si="15"/>
        <v>312</v>
      </c>
      <c r="E41" s="61">
        <f t="shared" si="16"/>
        <v>26</v>
      </c>
      <c r="F41" s="60">
        <f t="shared" si="18"/>
        <v>6</v>
      </c>
      <c r="G41" s="62">
        <f t="shared" si="17"/>
        <v>3.25</v>
      </c>
    </row>
    <row r="42" spans="2:13">
      <c r="C42" s="59">
        <v>0.1</v>
      </c>
      <c r="D42" s="60">
        <f t="shared" si="15"/>
        <v>208</v>
      </c>
      <c r="E42" s="61">
        <f t="shared" si="16"/>
        <v>17.333333333333332</v>
      </c>
      <c r="F42" s="60">
        <f t="shared" si="18"/>
        <v>4</v>
      </c>
      <c r="G42" s="62">
        <f t="shared" si="17"/>
        <v>2.1666666666666665</v>
      </c>
    </row>
    <row r="43" spans="2:13">
      <c r="C43" s="59">
        <v>0.05</v>
      </c>
      <c r="D43" s="60">
        <f t="shared" si="15"/>
        <v>104</v>
      </c>
      <c r="E43" s="61">
        <f t="shared" si="16"/>
        <v>8.6666666666666661</v>
      </c>
      <c r="F43" s="60">
        <f t="shared" si="18"/>
        <v>2</v>
      </c>
      <c r="G43" s="63">
        <f t="shared" si="17"/>
        <v>1.0833333333333333</v>
      </c>
    </row>
    <row r="44" spans="2:13">
      <c r="C44" s="59">
        <v>0.02</v>
      </c>
      <c r="D44" s="61">
        <f t="shared" si="15"/>
        <v>41.6</v>
      </c>
      <c r="E44" s="61">
        <f t="shared" si="16"/>
        <v>3.4666666666666668</v>
      </c>
      <c r="F44" s="60">
        <f t="shared" si="18"/>
        <v>0.8</v>
      </c>
      <c r="G44" s="63">
        <f t="shared" si="17"/>
        <v>0.43333333333333335</v>
      </c>
    </row>
    <row r="45" spans="2:13">
      <c r="C45" s="64">
        <v>0.01</v>
      </c>
      <c r="D45" s="71">
        <f t="shared" si="15"/>
        <v>20.8</v>
      </c>
      <c r="E45" s="71">
        <f t="shared" si="16"/>
        <v>1.7333333333333334</v>
      </c>
      <c r="F45" s="70">
        <f t="shared" si="18"/>
        <v>0.4</v>
      </c>
      <c r="G45" s="65">
        <f t="shared" si="17"/>
        <v>0.21666666666666667</v>
      </c>
    </row>
    <row r="47" spans="2:13">
      <c r="C47" s="275" t="s">
        <v>105</v>
      </c>
      <c r="D47" s="276"/>
      <c r="E47" s="277"/>
      <c r="F47" s="66" t="s">
        <v>106</v>
      </c>
    </row>
    <row r="48" spans="2:13">
      <c r="C48" s="72" t="s">
        <v>107</v>
      </c>
      <c r="D48" s="72" t="s">
        <v>109</v>
      </c>
      <c r="E48" s="72" t="s">
        <v>108</v>
      </c>
      <c r="F48" s="72" t="s">
        <v>110</v>
      </c>
    </row>
    <row r="49" spans="3:6">
      <c r="C49" s="67">
        <v>136</v>
      </c>
      <c r="D49" s="68"/>
      <c r="E49" s="68"/>
      <c r="F49" s="69">
        <f>C49/D36</f>
        <v>6.5384615384615388E-2</v>
      </c>
    </row>
    <row r="50" spans="3:6">
      <c r="C50" s="68"/>
      <c r="D50" s="67">
        <v>12</v>
      </c>
      <c r="E50" s="68"/>
      <c r="F50" s="69">
        <f>D50/E36</f>
        <v>6.9230769230769221E-2</v>
      </c>
    </row>
    <row r="51" spans="3:6">
      <c r="C51" s="68"/>
      <c r="D51" s="68"/>
      <c r="E51" s="67">
        <v>3</v>
      </c>
      <c r="F51" s="69">
        <f>E51/F36</f>
        <v>7.4999999999999997E-2</v>
      </c>
    </row>
  </sheetData>
  <mergeCells count="1">
    <mergeCell ref="C47:E47"/>
  </mergeCells>
  <phoneticPr fontId="19"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codeName="Sheet7"/>
  <dimension ref="A1:J25"/>
  <sheetViews>
    <sheetView topLeftCell="A6" workbookViewId="0">
      <selection activeCell="A23" sqref="A23"/>
    </sheetView>
  </sheetViews>
  <sheetFormatPr defaultRowHeight="15"/>
  <cols>
    <col min="1" max="1" width="33.85546875" customWidth="1"/>
    <col min="2" max="2" width="13.85546875" customWidth="1"/>
    <col min="3" max="4" width="13.5703125" customWidth="1"/>
    <col min="5" max="5" width="7.7109375" hidden="1" customWidth="1"/>
    <col min="6" max="6" width="12.5703125" hidden="1" customWidth="1"/>
    <col min="7" max="7" width="22.42578125" hidden="1" customWidth="1"/>
    <col min="8" max="8" width="7.28515625" hidden="1" customWidth="1"/>
    <col min="9" max="9" width="12.5703125" hidden="1" customWidth="1"/>
    <col min="10" max="10" width="11.28515625" customWidth="1"/>
  </cols>
  <sheetData>
    <row r="1" spans="1:10" ht="23.25">
      <c r="A1" s="76" t="s">
        <v>155</v>
      </c>
    </row>
    <row r="2" spans="1:10">
      <c r="A2" s="45" t="str">
        <f>'Table of Contents'!B2</f>
        <v>Staff Proposed - October, 2013</v>
      </c>
    </row>
    <row r="3" spans="1:10">
      <c r="A3" t="s">
        <v>154</v>
      </c>
    </row>
    <row r="5" spans="1:10">
      <c r="A5" s="93" t="s">
        <v>156</v>
      </c>
      <c r="B5" s="94">
        <v>1500000</v>
      </c>
    </row>
    <row r="6" spans="1:10" ht="15.75" thickBot="1">
      <c r="J6" s="47"/>
    </row>
    <row r="7" spans="1:10" ht="60">
      <c r="A7" s="95" t="s">
        <v>135</v>
      </c>
      <c r="B7" s="96" t="s">
        <v>153</v>
      </c>
      <c r="C7" s="96" t="s">
        <v>136</v>
      </c>
      <c r="D7" s="98" t="s">
        <v>137</v>
      </c>
      <c r="E7" s="111"/>
      <c r="F7" s="96" t="s">
        <v>138</v>
      </c>
      <c r="G7" s="96"/>
      <c r="H7" s="97"/>
      <c r="I7" s="96" t="s">
        <v>139</v>
      </c>
      <c r="J7" s="112"/>
    </row>
    <row r="8" spans="1:10">
      <c r="A8" s="99" t="s">
        <v>141</v>
      </c>
      <c r="B8" s="100">
        <v>0.35491098436645985</v>
      </c>
      <c r="C8" s="101">
        <f>$B$5*B8</f>
        <v>532366.47654968977</v>
      </c>
      <c r="D8" s="103">
        <f>ROUND(C8,-3)</f>
        <v>532000</v>
      </c>
      <c r="E8" s="101"/>
      <c r="F8" s="102" t="e">
        <f>#REF!</f>
        <v>#REF!</v>
      </c>
      <c r="G8" s="60"/>
      <c r="H8" s="60"/>
      <c r="I8" s="101">
        <v>452179</v>
      </c>
      <c r="J8" s="47"/>
    </row>
    <row r="9" spans="1:10">
      <c r="A9" s="99" t="s">
        <v>142</v>
      </c>
      <c r="B9" s="100">
        <v>0.20525957851608623</v>
      </c>
      <c r="C9" s="101">
        <f t="shared" ref="C9:C20" si="0">$B$5*B9</f>
        <v>307889.36777412932</v>
      </c>
      <c r="D9" s="103">
        <f t="shared" ref="D9:D20" si="1">ROUND(C9,-3)</f>
        <v>308000</v>
      </c>
      <c r="E9" s="101"/>
      <c r="F9" s="104">
        <v>287400</v>
      </c>
      <c r="G9" s="60"/>
      <c r="H9" s="60"/>
      <c r="I9" s="101">
        <v>274467</v>
      </c>
    </row>
    <row r="10" spans="1:10">
      <c r="A10" s="99" t="s">
        <v>143</v>
      </c>
      <c r="B10" s="100">
        <v>0.13718045536284248</v>
      </c>
      <c r="C10" s="101">
        <f t="shared" si="0"/>
        <v>205770.68304426371</v>
      </c>
      <c r="D10" s="103">
        <f t="shared" si="1"/>
        <v>206000</v>
      </c>
      <c r="E10" s="101"/>
      <c r="F10" s="101">
        <v>192100</v>
      </c>
      <c r="G10" s="60"/>
      <c r="H10" s="60"/>
      <c r="I10" s="101">
        <f>F10</f>
        <v>192100</v>
      </c>
    </row>
    <row r="11" spans="1:10">
      <c r="A11" s="99" t="s">
        <v>144</v>
      </c>
      <c r="B11" s="100">
        <v>8.6172223450727434E-2</v>
      </c>
      <c r="C11" s="101">
        <f t="shared" si="0"/>
        <v>129258.33517609115</v>
      </c>
      <c r="D11" s="103">
        <f t="shared" si="1"/>
        <v>129000</v>
      </c>
      <c r="E11" s="101"/>
      <c r="F11" s="102">
        <v>90000</v>
      </c>
      <c r="G11" s="60"/>
      <c r="H11" s="60"/>
      <c r="I11" s="101">
        <f>F11</f>
        <v>90000</v>
      </c>
    </row>
    <row r="12" spans="1:10">
      <c r="A12" s="99" t="s">
        <v>145</v>
      </c>
      <c r="B12" s="100">
        <v>5.5301509948806102E-2</v>
      </c>
      <c r="C12" s="101">
        <f t="shared" si="0"/>
        <v>82952.26492320915</v>
      </c>
      <c r="D12" s="103">
        <f t="shared" si="1"/>
        <v>83000</v>
      </c>
      <c r="E12" s="101"/>
      <c r="F12" s="105">
        <v>77400</v>
      </c>
      <c r="G12" s="60"/>
      <c r="H12" s="60"/>
      <c r="I12" s="101">
        <f>F12</f>
        <v>77400</v>
      </c>
    </row>
    <row r="13" spans="1:10">
      <c r="A13" s="99" t="s">
        <v>146</v>
      </c>
      <c r="B13" s="100">
        <v>4.5079419385255989E-2</v>
      </c>
      <c r="C13" s="101">
        <f t="shared" si="0"/>
        <v>67619.12907788399</v>
      </c>
      <c r="D13" s="103">
        <f t="shared" si="1"/>
        <v>68000</v>
      </c>
      <c r="E13" s="101"/>
      <c r="F13" s="102">
        <v>45000</v>
      </c>
      <c r="G13" s="60"/>
      <c r="H13" s="60"/>
      <c r="I13" s="101">
        <v>63100</v>
      </c>
    </row>
    <row r="14" spans="1:10">
      <c r="A14" s="99" t="s">
        <v>164</v>
      </c>
      <c r="B14" s="100">
        <v>3.8128397802041913E-2</v>
      </c>
      <c r="C14" s="101">
        <f t="shared" si="0"/>
        <v>57192.596703062867</v>
      </c>
      <c r="D14" s="103">
        <v>30000</v>
      </c>
      <c r="E14" s="101"/>
      <c r="F14" s="102">
        <v>12720</v>
      </c>
      <c r="G14" s="60"/>
      <c r="H14" s="60"/>
      <c r="I14" s="101">
        <f t="shared" ref="I14:I20" si="2">F14</f>
        <v>12720</v>
      </c>
    </row>
    <row r="15" spans="1:10">
      <c r="A15" s="99" t="s">
        <v>147</v>
      </c>
      <c r="B15" s="100">
        <v>3.7208409651322404E-2</v>
      </c>
      <c r="C15" s="101">
        <f t="shared" si="0"/>
        <v>55812.614476983603</v>
      </c>
      <c r="D15" s="103">
        <f t="shared" si="1"/>
        <v>56000</v>
      </c>
      <c r="E15" s="101"/>
      <c r="F15" s="101">
        <v>52100</v>
      </c>
      <c r="G15" s="60"/>
      <c r="H15" s="60"/>
      <c r="I15" s="101">
        <f t="shared" si="2"/>
        <v>52100</v>
      </c>
    </row>
    <row r="16" spans="1:10">
      <c r="A16" s="99" t="s">
        <v>148</v>
      </c>
      <c r="B16" s="100">
        <v>1.3596423519987317E-2</v>
      </c>
      <c r="C16" s="101">
        <f t="shared" si="0"/>
        <v>20394.635279980976</v>
      </c>
      <c r="D16" s="103">
        <f t="shared" si="1"/>
        <v>20000</v>
      </c>
      <c r="E16" s="101"/>
      <c r="F16" s="101">
        <v>19000</v>
      </c>
      <c r="G16" s="101"/>
      <c r="H16" s="101"/>
      <c r="I16" s="101">
        <f t="shared" si="2"/>
        <v>19000</v>
      </c>
      <c r="J16" s="101"/>
    </row>
    <row r="17" spans="1:10">
      <c r="A17" s="99" t="s">
        <v>149</v>
      </c>
      <c r="B17" s="100">
        <v>1.1244299619905123E-2</v>
      </c>
      <c r="C17" s="101">
        <f t="shared" si="0"/>
        <v>16866.449429857683</v>
      </c>
      <c r="D17" s="103">
        <f t="shared" si="1"/>
        <v>17000</v>
      </c>
      <c r="E17" s="101"/>
      <c r="F17" s="101">
        <v>15700</v>
      </c>
      <c r="G17" s="101"/>
      <c r="H17" s="101"/>
      <c r="I17" s="101">
        <f t="shared" si="2"/>
        <v>15700</v>
      </c>
      <c r="J17" s="101"/>
    </row>
    <row r="18" spans="1:10">
      <c r="A18" s="99" t="s">
        <v>150</v>
      </c>
      <c r="B18" s="100">
        <v>7.8710097339335858E-3</v>
      </c>
      <c r="C18" s="101">
        <f t="shared" si="0"/>
        <v>11806.514600900378</v>
      </c>
      <c r="D18" s="103">
        <f t="shared" si="1"/>
        <v>12000</v>
      </c>
      <c r="E18" s="101"/>
      <c r="F18" s="101">
        <v>11000</v>
      </c>
      <c r="G18" s="101"/>
      <c r="H18" s="101"/>
      <c r="I18" s="101">
        <f t="shared" si="2"/>
        <v>11000</v>
      </c>
      <c r="J18" s="101"/>
    </row>
    <row r="19" spans="1:10">
      <c r="A19" s="99" t="s">
        <v>151</v>
      </c>
      <c r="B19" s="100">
        <v>5.1851032848375103E-3</v>
      </c>
      <c r="C19" s="101">
        <f t="shared" si="0"/>
        <v>7777.6549272562652</v>
      </c>
      <c r="D19" s="103">
        <f t="shared" si="1"/>
        <v>8000</v>
      </c>
      <c r="E19" s="101"/>
      <c r="F19" s="101">
        <v>7300</v>
      </c>
      <c r="G19" s="101"/>
      <c r="H19" s="101"/>
      <c r="I19" s="101">
        <f t="shared" si="2"/>
        <v>7300</v>
      </c>
      <c r="J19" s="101"/>
    </row>
    <row r="20" spans="1:10">
      <c r="A20" s="99" t="s">
        <v>152</v>
      </c>
      <c r="B20" s="100">
        <v>2.8621853577940311E-3</v>
      </c>
      <c r="C20" s="101">
        <f t="shared" si="0"/>
        <v>4293.2780366910465</v>
      </c>
      <c r="D20" s="103">
        <f t="shared" si="1"/>
        <v>4000</v>
      </c>
      <c r="E20" s="101"/>
      <c r="F20" s="101">
        <v>4000</v>
      </c>
      <c r="G20" s="101"/>
      <c r="H20" s="101"/>
      <c r="I20" s="101">
        <f t="shared" si="2"/>
        <v>4000</v>
      </c>
      <c r="J20" s="101"/>
    </row>
    <row r="21" spans="1:10">
      <c r="A21" s="99"/>
      <c r="B21" s="60"/>
      <c r="C21" s="60"/>
      <c r="D21" s="106"/>
      <c r="E21" s="60"/>
      <c r="F21" s="60"/>
      <c r="G21" s="60"/>
      <c r="H21" s="60"/>
      <c r="I21" s="60"/>
      <c r="J21" s="60"/>
    </row>
    <row r="22" spans="1:10" ht="15.75" thickBot="1">
      <c r="A22" s="107" t="s">
        <v>140</v>
      </c>
      <c r="B22" s="108">
        <f>SUM(B8:B20)</f>
        <v>1</v>
      </c>
      <c r="C22" s="109">
        <f>SUM(C8:C20)</f>
        <v>1499999.9999999998</v>
      </c>
      <c r="D22" s="110">
        <f>SUM(D8:D20)</f>
        <v>1473000</v>
      </c>
      <c r="E22" s="109"/>
      <c r="F22" s="109" t="e">
        <f>SUM(F8:F20)</f>
        <v>#REF!</v>
      </c>
      <c r="G22" s="109"/>
      <c r="H22" s="109"/>
      <c r="I22" s="109">
        <f>SUM(I8:I20)</f>
        <v>1271066</v>
      </c>
      <c r="J22" s="101"/>
    </row>
    <row r="23" spans="1:10">
      <c r="A23" s="157" t="s">
        <v>174</v>
      </c>
    </row>
    <row r="25" spans="1:10">
      <c r="B25" s="20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(2013)</vt:lpstr>
      <vt:lpstr>Category Detail (2013)</vt:lpstr>
      <vt:lpstr>Category (2013-2015)</vt:lpstr>
      <vt:lpstr>NPCC In Kind</vt:lpstr>
      <vt:lpstr>Typical Rates</vt:lpstr>
      <vt:lpstr>Funding Shares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Gillian Charles</cp:lastModifiedBy>
  <cp:lastPrinted>2012-09-14T17:01:32Z</cp:lastPrinted>
  <dcterms:created xsi:type="dcterms:W3CDTF">2010-11-30T20:23:00Z</dcterms:created>
  <dcterms:modified xsi:type="dcterms:W3CDTF">2012-10-25T16:54:32Z</dcterms:modified>
</cp:coreProperties>
</file>