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Q:\RTF\Administrative\Accounting\2020+\2020 Work Plan\"/>
    </mc:Choice>
  </mc:AlternateContent>
  <xr:revisionPtr revIDLastSave="0" documentId="13_ncr:1_{0AD46313-640F-4338-8576-508B9A5C28A0}" xr6:coauthVersionLast="41" xr6:coauthVersionMax="41" xr10:uidLastSave="{00000000-0000-0000-0000-000000000000}"/>
  <bookViews>
    <workbookView xWindow="28680" yWindow="-120" windowWidth="29040" windowHeight="16440" activeTab="3" xr2:uid="{747A52A8-3AB4-4B26-A31B-C18C969B87B2}"/>
  </bookViews>
  <sheets>
    <sheet name="Table of Contents" sheetId="1" r:id="rId1"/>
    <sheet name="Category (2020)" sheetId="2" r:id="rId2"/>
    <sheet name="Category Detail (2020)" sheetId="3" r:id="rId3"/>
    <sheet name="Category (2020-2024)" sheetId="4" r:id="rId4"/>
    <sheet name="NPCC Contribution" sheetId="5" r:id="rId5"/>
    <sheet name="Funding Shares" sheetId="6" r:id="rId6"/>
    <sheet name="Typical Rates" sheetId="7"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7" i="4" l="1"/>
  <c r="AC8" i="4"/>
  <c r="AC9" i="4"/>
  <c r="AC10" i="4"/>
  <c r="AC11" i="4"/>
  <c r="AC12" i="4"/>
  <c r="AC13" i="4"/>
  <c r="AC14" i="4"/>
  <c r="AC6" i="4"/>
  <c r="W15" i="4"/>
  <c r="W7" i="4"/>
  <c r="W8" i="4"/>
  <c r="W9" i="4"/>
  <c r="W10" i="4"/>
  <c r="W11" i="4"/>
  <c r="W12" i="4"/>
  <c r="W13" i="4"/>
  <c r="W14" i="4"/>
  <c r="W6" i="4"/>
  <c r="Q15" i="4"/>
  <c r="Q7" i="4"/>
  <c r="Q8" i="4"/>
  <c r="Q9" i="4"/>
  <c r="Q10" i="4"/>
  <c r="Q11" i="4"/>
  <c r="Q12" i="4"/>
  <c r="Q13" i="4"/>
  <c r="Q14" i="4"/>
  <c r="Q6" i="4"/>
  <c r="K7" i="4"/>
  <c r="K8" i="4"/>
  <c r="K15" i="4" s="1"/>
  <c r="K9" i="4"/>
  <c r="K10" i="4"/>
  <c r="K11" i="4"/>
  <c r="K12" i="4"/>
  <c r="K13" i="4"/>
  <c r="K14" i="4"/>
  <c r="K6" i="4"/>
  <c r="C36" i="4" l="1"/>
  <c r="B44" i="4"/>
  <c r="F36" i="4"/>
  <c r="AH6" i="4"/>
  <c r="AG6" i="4"/>
  <c r="F16" i="4"/>
  <c r="AL5" i="2" l="1"/>
  <c r="AI5" i="2"/>
  <c r="AJ5" i="2"/>
  <c r="AK5" i="2"/>
  <c r="AH5" i="2"/>
  <c r="AH4" i="2"/>
  <c r="AC4" i="2"/>
  <c r="X4" i="2"/>
  <c r="N5" i="2"/>
  <c r="U5" i="2" s="1"/>
  <c r="AB5" i="2" s="1"/>
  <c r="J5" i="2"/>
  <c r="AD5" i="2" s="1"/>
  <c r="K5" i="2"/>
  <c r="AE5" i="2" s="1"/>
  <c r="L5" i="2"/>
  <c r="AF5" i="2" s="1"/>
  <c r="M5" i="2"/>
  <c r="T5" i="2" s="1"/>
  <c r="I5" i="2"/>
  <c r="AC5" i="2" s="1"/>
  <c r="A2" i="2"/>
  <c r="F57" i="4"/>
  <c r="Q5" i="2" l="1"/>
  <c r="Y5" i="2" s="1"/>
  <c r="S5" i="2"/>
  <c r="AA5" i="2" s="1"/>
  <c r="AG5" i="2"/>
  <c r="R5" i="2"/>
  <c r="Z5" i="2" s="1"/>
  <c r="P5" i="2"/>
  <c r="X5" i="2" s="1"/>
  <c r="P3" i="4"/>
  <c r="V3" i="4" s="1"/>
  <c r="AB3" i="4" s="1"/>
  <c r="AH7" i="4"/>
  <c r="F45" i="4"/>
  <c r="E38" i="4"/>
  <c r="D44" i="4"/>
  <c r="D46" i="4"/>
  <c r="J5" i="4"/>
  <c r="P5" i="4" s="1"/>
  <c r="V5" i="4" s="1"/>
  <c r="AB5" i="4" s="1"/>
  <c r="K5" i="4"/>
  <c r="Q5" i="4" s="1"/>
  <c r="W5" i="4" s="1"/>
  <c r="AC5" i="4" s="1"/>
  <c r="L5" i="4"/>
  <c r="R5" i="4" s="1"/>
  <c r="X5" i="4" s="1"/>
  <c r="AD5" i="4" s="1"/>
  <c r="H5" i="4"/>
  <c r="N5" i="4" s="1"/>
  <c r="T5" i="4" s="1"/>
  <c r="Z5" i="4" s="1"/>
  <c r="A7" i="4"/>
  <c r="A8" i="4"/>
  <c r="A9" i="4"/>
  <c r="A10" i="4"/>
  <c r="A11" i="4"/>
  <c r="A12" i="4"/>
  <c r="A13" i="4"/>
  <c r="A14" i="4"/>
  <c r="A6" i="4"/>
  <c r="M15" i="2"/>
  <c r="L15" i="2"/>
  <c r="K15" i="2"/>
  <c r="J15" i="2"/>
  <c r="I15" i="2"/>
  <c r="AF9" i="2"/>
  <c r="AE9" i="2"/>
  <c r="AD9" i="2"/>
  <c r="AC9" i="2"/>
  <c r="AA9" i="2"/>
  <c r="Z9" i="2"/>
  <c r="Y9" i="2"/>
  <c r="X9" i="2"/>
  <c r="AF8" i="2"/>
  <c r="AE8" i="2"/>
  <c r="AD8" i="2"/>
  <c r="AC8" i="2"/>
  <c r="AA8" i="2"/>
  <c r="Z8" i="2"/>
  <c r="Y8" i="2"/>
  <c r="X8" i="2"/>
  <c r="AF7" i="2"/>
  <c r="AE7" i="2"/>
  <c r="AD7" i="2"/>
  <c r="AC7" i="2"/>
  <c r="AA7" i="2"/>
  <c r="Z7" i="2"/>
  <c r="Y7" i="2"/>
  <c r="X7" i="2"/>
  <c r="AF6" i="2"/>
  <c r="AE6" i="2"/>
  <c r="AD6" i="2"/>
  <c r="AC6" i="2"/>
  <c r="AA6" i="2"/>
  <c r="Z6" i="2"/>
  <c r="Y6" i="2"/>
  <c r="X6" i="2"/>
  <c r="A2" i="4"/>
  <c r="D57" i="4"/>
  <c r="C57" i="4"/>
  <c r="P16" i="4"/>
  <c r="V16" i="4" s="1"/>
  <c r="AB16" i="4" s="1"/>
  <c r="X15" i="4"/>
  <c r="F22" i="4" s="1"/>
  <c r="E31" i="4" s="1"/>
  <c r="T15" i="4"/>
  <c r="B22" i="4" s="1"/>
  <c r="E27" i="4" s="1"/>
  <c r="O15" i="4"/>
  <c r="O16" i="4" s="1"/>
  <c r="J15" i="4"/>
  <c r="D20" i="4" s="1"/>
  <c r="C29" i="4" s="1"/>
  <c r="I5" i="4"/>
  <c r="O5" i="4" s="1"/>
  <c r="U5" i="4" s="1"/>
  <c r="AA5" i="4" s="1"/>
  <c r="B15" i="3"/>
  <c r="C15" i="3"/>
  <c r="D15" i="3"/>
  <c r="B16" i="3"/>
  <c r="C16" i="3"/>
  <c r="D16" i="3"/>
  <c r="B17" i="3"/>
  <c r="C17" i="3"/>
  <c r="D17" i="3"/>
  <c r="B18" i="3"/>
  <c r="C18" i="3"/>
  <c r="D18" i="3"/>
  <c r="C14" i="3"/>
  <c r="D14" i="3"/>
  <c r="B14" i="3"/>
  <c r="B7" i="3"/>
  <c r="C7" i="3"/>
  <c r="D7" i="3"/>
  <c r="B8" i="3"/>
  <c r="C8" i="3"/>
  <c r="D8" i="3"/>
  <c r="B9" i="3"/>
  <c r="C9" i="3"/>
  <c r="D9" i="3"/>
  <c r="D6" i="3"/>
  <c r="C6" i="3"/>
  <c r="B6" i="3"/>
  <c r="AH8" i="4" l="1"/>
  <c r="AA10" i="2"/>
  <c r="AB7" i="2" s="1"/>
  <c r="AB6" i="2"/>
  <c r="AF10" i="2"/>
  <c r="AG6" i="2" s="1"/>
  <c r="X10" i="2"/>
  <c r="AO6" i="2" s="1"/>
  <c r="AC10" i="2"/>
  <c r="AP6" i="2" s="1"/>
  <c r="Y10" i="2"/>
  <c r="AO7" i="2" s="1"/>
  <c r="AD10" i="2"/>
  <c r="AP7" i="2" s="1"/>
  <c r="Z10" i="2"/>
  <c r="AO8" i="2" s="1"/>
  <c r="AE10" i="2"/>
  <c r="AP8" i="2" s="1"/>
  <c r="C39" i="4"/>
  <c r="C37" i="4"/>
  <c r="E36" i="4"/>
  <c r="E39" i="4"/>
  <c r="F39" i="4"/>
  <c r="E44" i="4"/>
  <c r="D36" i="4"/>
  <c r="C47" i="4"/>
  <c r="C45" i="4"/>
  <c r="D47" i="4"/>
  <c r="E46" i="4"/>
  <c r="D45" i="4"/>
  <c r="D37" i="4"/>
  <c r="F44" i="4"/>
  <c r="AH9" i="4"/>
  <c r="F46" i="4"/>
  <c r="F38" i="4"/>
  <c r="D39" i="4"/>
  <c r="C46" i="4"/>
  <c r="C38" i="4"/>
  <c r="F47" i="4"/>
  <c r="F37" i="4"/>
  <c r="E47" i="4"/>
  <c r="E45" i="4"/>
  <c r="E37" i="4"/>
  <c r="E40" i="4" s="1"/>
  <c r="C21" i="4"/>
  <c r="D28" i="4" s="1"/>
  <c r="C44" i="4"/>
  <c r="D38" i="4"/>
  <c r="AH10" i="4"/>
  <c r="AB8" i="2"/>
  <c r="H15" i="4"/>
  <c r="B20" i="4" s="1"/>
  <c r="C27" i="4" s="1"/>
  <c r="L15" i="4"/>
  <c r="F20" i="4" s="1"/>
  <c r="C31" i="4" s="1"/>
  <c r="V15" i="4"/>
  <c r="D22" i="4" s="1"/>
  <c r="E29" i="4" s="1"/>
  <c r="AA15" i="4"/>
  <c r="E57" i="4"/>
  <c r="I15" i="4"/>
  <c r="N15" i="4"/>
  <c r="B21" i="4" s="1"/>
  <c r="D27" i="4" s="1"/>
  <c r="R15" i="4"/>
  <c r="F21" i="4" s="1"/>
  <c r="D31" i="4" s="1"/>
  <c r="AB15" i="4"/>
  <c r="D23" i="4" s="1"/>
  <c r="F29" i="4" s="1"/>
  <c r="C51" i="4"/>
  <c r="P15" i="4"/>
  <c r="D21" i="4" s="1"/>
  <c r="D29" i="4" s="1"/>
  <c r="U15" i="4"/>
  <c r="Z15" i="4"/>
  <c r="B23" i="4" s="1"/>
  <c r="F27" i="4" s="1"/>
  <c r="AD15" i="4"/>
  <c r="F23" i="4" s="1"/>
  <c r="F31" i="4" s="1"/>
  <c r="AC15" i="4"/>
  <c r="F52" i="4" s="1"/>
  <c r="D48" i="4" l="1"/>
  <c r="AB9" i="2"/>
  <c r="AB10" i="2" s="1"/>
  <c r="AG9" i="2"/>
  <c r="AG10" i="2" s="1"/>
  <c r="AG7" i="2"/>
  <c r="AG8" i="2"/>
  <c r="AP9" i="2"/>
  <c r="AO9" i="2"/>
  <c r="C40" i="4"/>
  <c r="E48" i="4"/>
  <c r="D40" i="4"/>
  <c r="AH11" i="4"/>
  <c r="E20" i="4"/>
  <c r="C30" i="4" s="1"/>
  <c r="E51" i="4"/>
  <c r="E22" i="4"/>
  <c r="E30" i="4" s="1"/>
  <c r="D51" i="4"/>
  <c r="E21" i="4"/>
  <c r="D30" i="4" s="1"/>
  <c r="F48" i="4"/>
  <c r="F51" i="4"/>
  <c r="E23" i="4"/>
  <c r="F30" i="4" s="1"/>
  <c r="U16" i="4"/>
  <c r="C22" i="4"/>
  <c r="E28" i="4" s="1"/>
  <c r="AA16" i="4"/>
  <c r="C23" i="4"/>
  <c r="F28" i="4" s="1"/>
  <c r="C48" i="4"/>
  <c r="F40" i="4"/>
  <c r="I16" i="4"/>
  <c r="C20" i="4"/>
  <c r="C28" i="4" s="1"/>
  <c r="G29" i="4" l="1"/>
  <c r="G30" i="4"/>
  <c r="G31" i="4"/>
  <c r="G28" i="4"/>
  <c r="G27" i="4"/>
  <c r="G39" i="4"/>
  <c r="G40" i="4"/>
  <c r="G36" i="4"/>
  <c r="G37" i="4"/>
  <c r="G38" i="4"/>
  <c r="B57" i="4"/>
  <c r="A2" i="3" l="1"/>
  <c r="K74" i="3"/>
  <c r="F74" i="3"/>
  <c r="F14" i="2" s="1"/>
  <c r="F14" i="4" s="1"/>
  <c r="C74" i="3"/>
  <c r="C14" i="2" s="1"/>
  <c r="C14" i="4" s="1"/>
  <c r="B74" i="3"/>
  <c r="B14" i="2" s="1"/>
  <c r="A74" i="3"/>
  <c r="E73" i="3"/>
  <c r="D72" i="3"/>
  <c r="E72" i="3" s="1"/>
  <c r="D71" i="3"/>
  <c r="E71" i="3" s="1"/>
  <c r="D70" i="3"/>
  <c r="E70" i="3" s="1"/>
  <c r="D69" i="3"/>
  <c r="E69" i="3" s="1"/>
  <c r="D68" i="3"/>
  <c r="E68" i="3" s="1"/>
  <c r="D67" i="3"/>
  <c r="E67" i="3" s="1"/>
  <c r="F63" i="3"/>
  <c r="F13" i="2" s="1"/>
  <c r="F13" i="4" s="1"/>
  <c r="D63" i="3"/>
  <c r="D13" i="2" s="1"/>
  <c r="D13" i="4" s="1"/>
  <c r="C63" i="3"/>
  <c r="C13" i="2" s="1"/>
  <c r="C13" i="4" s="1"/>
  <c r="B63" i="3"/>
  <c r="B13" i="2" s="1"/>
  <c r="A63" i="3"/>
  <c r="E62" i="3"/>
  <c r="E61" i="3"/>
  <c r="F57" i="3"/>
  <c r="F12" i="2" s="1"/>
  <c r="F12" i="4" s="1"/>
  <c r="D57" i="3"/>
  <c r="D12" i="2" s="1"/>
  <c r="C57" i="3"/>
  <c r="C12" i="2" s="1"/>
  <c r="B57" i="3"/>
  <c r="B12" i="2" s="1"/>
  <c r="A57" i="3"/>
  <c r="E56" i="3"/>
  <c r="E55" i="3"/>
  <c r="F51" i="3"/>
  <c r="F11" i="2" s="1"/>
  <c r="F11" i="4" s="1"/>
  <c r="A51" i="3"/>
  <c r="D51" i="3"/>
  <c r="D11" i="2" s="1"/>
  <c r="C51" i="3"/>
  <c r="C11" i="2" s="1"/>
  <c r="B51" i="3"/>
  <c r="B11" i="2" s="1"/>
  <c r="F46" i="3"/>
  <c r="F10" i="2" s="1"/>
  <c r="F10" i="4" s="1"/>
  <c r="D46" i="3"/>
  <c r="D10" i="2" s="1"/>
  <c r="D10" i="4" s="1"/>
  <c r="A46" i="3"/>
  <c r="E42" i="3"/>
  <c r="F36" i="3"/>
  <c r="F9" i="2" s="1"/>
  <c r="F9" i="4" s="1"/>
  <c r="D36" i="3"/>
  <c r="D9" i="2" s="1"/>
  <c r="A36" i="3"/>
  <c r="E34" i="3"/>
  <c r="E33" i="3"/>
  <c r="F27" i="3"/>
  <c r="F8" i="2" s="1"/>
  <c r="F8" i="4" s="1"/>
  <c r="D27" i="3"/>
  <c r="D8" i="2" s="1"/>
  <c r="D8" i="4" s="1"/>
  <c r="A27" i="3"/>
  <c r="D19" i="3"/>
  <c r="D7" i="2" s="1"/>
  <c r="D7" i="4" s="1"/>
  <c r="A19" i="3"/>
  <c r="F18" i="3"/>
  <c r="F17" i="3"/>
  <c r="E17" i="3"/>
  <c r="F16" i="3"/>
  <c r="E16" i="3"/>
  <c r="F15" i="3"/>
  <c r="F14" i="3"/>
  <c r="D10" i="3"/>
  <c r="D6" i="2" s="1"/>
  <c r="A10" i="3"/>
  <c r="F9" i="3"/>
  <c r="E9" i="3"/>
  <c r="F8" i="3"/>
  <c r="F7" i="3"/>
  <c r="F6" i="3"/>
  <c r="E6" i="3"/>
  <c r="E13" i="5"/>
  <c r="C11" i="4" l="1"/>
  <c r="AI8" i="2"/>
  <c r="B11" i="4"/>
  <c r="E11" i="4" s="1"/>
  <c r="E11" i="2"/>
  <c r="AH8" i="2"/>
  <c r="B12" i="4"/>
  <c r="E12" i="2"/>
  <c r="AH9" i="2"/>
  <c r="C12" i="4"/>
  <c r="AI9" i="2"/>
  <c r="D9" i="4"/>
  <c r="AJ7" i="2"/>
  <c r="D11" i="4"/>
  <c r="AJ8" i="2"/>
  <c r="D12" i="4"/>
  <c r="D6" i="4"/>
  <c r="AJ6" i="2"/>
  <c r="B13" i="4"/>
  <c r="E13" i="4" s="1"/>
  <c r="E13" i="2"/>
  <c r="B14" i="4"/>
  <c r="E14" i="2"/>
  <c r="E57" i="3"/>
  <c r="F19" i="3"/>
  <c r="F7" i="2" s="1"/>
  <c r="F7" i="4" s="1"/>
  <c r="E32" i="3"/>
  <c r="B36" i="3"/>
  <c r="B9" i="2" s="1"/>
  <c r="C19" i="3"/>
  <c r="C7" i="2" s="1"/>
  <c r="C7" i="4" s="1"/>
  <c r="E23" i="3"/>
  <c r="E25" i="3"/>
  <c r="E35" i="3"/>
  <c r="E43" i="3"/>
  <c r="B10" i="3"/>
  <c r="B6" i="2" s="1"/>
  <c r="E14" i="3"/>
  <c r="E18" i="3"/>
  <c r="E41" i="3"/>
  <c r="C10" i="3"/>
  <c r="C6" i="2" s="1"/>
  <c r="C27" i="3"/>
  <c r="C8" i="2" s="1"/>
  <c r="C8" i="4" s="1"/>
  <c r="E31" i="3"/>
  <c r="E40" i="3"/>
  <c r="E45" i="3"/>
  <c r="E15" i="3"/>
  <c r="C36" i="3"/>
  <c r="C9" i="2" s="1"/>
  <c r="F10" i="3"/>
  <c r="B19" i="3"/>
  <c r="B7" i="2" s="1"/>
  <c r="E24" i="3"/>
  <c r="E26" i="3"/>
  <c r="C46" i="3"/>
  <c r="C10" i="2" s="1"/>
  <c r="C10" i="4" s="1"/>
  <c r="E44" i="3"/>
  <c r="E63" i="3"/>
  <c r="E74" i="3"/>
  <c r="B27" i="3"/>
  <c r="B8" i="2" s="1"/>
  <c r="B46" i="3"/>
  <c r="B10" i="2" s="1"/>
  <c r="E7" i="3"/>
  <c r="E8" i="3"/>
  <c r="D74" i="3"/>
  <c r="D14" i="2" s="1"/>
  <c r="D14" i="4" s="1"/>
  <c r="E50" i="3"/>
  <c r="E51" i="3" s="1"/>
  <c r="C9" i="4" l="1"/>
  <c r="AI7" i="2"/>
  <c r="B9" i="4"/>
  <c r="E9" i="4" s="1"/>
  <c r="E9" i="2"/>
  <c r="AH7" i="2"/>
  <c r="B8" i="4"/>
  <c r="E8" i="4" s="1"/>
  <c r="E8" i="2"/>
  <c r="F77" i="3"/>
  <c r="F6" i="2"/>
  <c r="AJ9" i="2"/>
  <c r="AH10" i="2"/>
  <c r="AQ6" i="2" s="1"/>
  <c r="AK8" i="2"/>
  <c r="AJ10" i="2"/>
  <c r="AQ8" i="2" s="1"/>
  <c r="AK9" i="2"/>
  <c r="B38" i="4"/>
  <c r="B46" i="4"/>
  <c r="AG9" i="4"/>
  <c r="AI9" i="4" s="1"/>
  <c r="E14" i="4"/>
  <c r="D15" i="2"/>
  <c r="E12" i="4"/>
  <c r="B10" i="4"/>
  <c r="E10" i="4" s="1"/>
  <c r="AG8" i="4" s="1"/>
  <c r="AI8" i="4" s="1"/>
  <c r="E10" i="2"/>
  <c r="B7" i="4"/>
  <c r="E7" i="4" s="1"/>
  <c r="E7" i="2"/>
  <c r="C6" i="4"/>
  <c r="C15" i="4" s="1"/>
  <c r="C15" i="2"/>
  <c r="AI6" i="2"/>
  <c r="AI10" i="2" s="1"/>
  <c r="AQ7" i="2" s="1"/>
  <c r="B15" i="2"/>
  <c r="B6" i="4"/>
  <c r="AH6" i="2"/>
  <c r="E6" i="2"/>
  <c r="D15" i="4"/>
  <c r="D19" i="4" s="1"/>
  <c r="B29" i="4" s="1"/>
  <c r="D77" i="3"/>
  <c r="E26" i="5"/>
  <c r="C2" i="5" s="1"/>
  <c r="E46" i="3"/>
  <c r="E36" i="3"/>
  <c r="C77" i="3"/>
  <c r="B84" i="3" s="1"/>
  <c r="E27" i="3"/>
  <c r="B83" i="3"/>
  <c r="B77" i="3"/>
  <c r="E19" i="3"/>
  <c r="E10" i="3"/>
  <c r="E6" i="4" l="1"/>
  <c r="B15" i="4"/>
  <c r="B19" i="4" s="1"/>
  <c r="B27" i="4" s="1"/>
  <c r="C16" i="4"/>
  <c r="C19" i="4"/>
  <c r="B28" i="4" s="1"/>
  <c r="B85" i="3"/>
  <c r="AK7" i="2"/>
  <c r="B45" i="4"/>
  <c r="AG7" i="4"/>
  <c r="AI7" i="4" s="1"/>
  <c r="B37" i="4"/>
  <c r="E15" i="2"/>
  <c r="AK6" i="2"/>
  <c r="AQ9" i="2"/>
  <c r="B47" i="4"/>
  <c r="B39" i="4"/>
  <c r="AG10" i="4"/>
  <c r="AI10" i="4" s="1"/>
  <c r="F6" i="4"/>
  <c r="F15" i="4" s="1"/>
  <c r="F19" i="4" s="1"/>
  <c r="B31" i="4" s="1"/>
  <c r="F15" i="2"/>
  <c r="E77" i="3"/>
  <c r="B82" i="3" s="1"/>
  <c r="N11" i="2" l="1"/>
  <c r="N9" i="2"/>
  <c r="N14" i="2"/>
  <c r="N12" i="2"/>
  <c r="N8" i="2"/>
  <c r="N10" i="2"/>
  <c r="N13" i="2"/>
  <c r="N6" i="2"/>
  <c r="N7" i="2"/>
  <c r="G11" i="2"/>
  <c r="G13" i="2"/>
  <c r="G14" i="2"/>
  <c r="G12" i="2"/>
  <c r="G8" i="2"/>
  <c r="AK10" i="2"/>
  <c r="AL6" i="2" s="1"/>
  <c r="G9" i="2"/>
  <c r="G10" i="2"/>
  <c r="B32" i="4"/>
  <c r="L16" i="4"/>
  <c r="G6" i="2"/>
  <c r="G7" i="2"/>
  <c r="B48" i="4"/>
  <c r="E15" i="4"/>
  <c r="B36" i="4"/>
  <c r="G74" i="3"/>
  <c r="G46" i="3"/>
  <c r="E3" i="3"/>
  <c r="G27" i="3"/>
  <c r="G19" i="3"/>
  <c r="G36" i="3"/>
  <c r="G51" i="3"/>
  <c r="G10" i="3"/>
  <c r="G57" i="3"/>
  <c r="B81" i="3"/>
  <c r="B80" i="3"/>
  <c r="G63" i="3"/>
  <c r="N15" i="2" l="1"/>
  <c r="AL8" i="2"/>
  <c r="AL9" i="2"/>
  <c r="AG11" i="4"/>
  <c r="AI6" i="4"/>
  <c r="AI11" i="4" s="1"/>
  <c r="G15" i="2"/>
  <c r="AL7" i="2"/>
  <c r="AL10" i="2" s="1"/>
  <c r="B40" i="4"/>
  <c r="E19" i="4"/>
  <c r="B30" i="4" s="1"/>
  <c r="C52" i="4"/>
  <c r="E52" i="4"/>
  <c r="D52" i="4"/>
  <c r="R16" i="4"/>
  <c r="C32" i="4"/>
  <c r="G77" i="3"/>
  <c r="A2" i="5"/>
  <c r="D25" i="5"/>
  <c r="C25" i="5"/>
  <c r="D21" i="5"/>
  <c r="C21" i="5"/>
  <c r="E20" i="5"/>
  <c r="E19" i="5"/>
  <c r="E18" i="5"/>
  <c r="E17" i="5"/>
  <c r="E16" i="5"/>
  <c r="E15" i="5"/>
  <c r="E14" i="5"/>
  <c r="E12" i="5"/>
  <c r="E11" i="5"/>
  <c r="E10" i="5"/>
  <c r="E9" i="5"/>
  <c r="E8" i="5"/>
  <c r="E7" i="5"/>
  <c r="A2" i="7"/>
  <c r="A2" i="6"/>
  <c r="E22" i="7"/>
  <c r="E37" i="7" s="1"/>
  <c r="I18" i="7"/>
  <c r="H18" i="7"/>
  <c r="G18" i="7"/>
  <c r="E18" i="7"/>
  <c r="D18" i="7"/>
  <c r="C18" i="7"/>
  <c r="I17" i="7"/>
  <c r="H17" i="7"/>
  <c r="G17" i="7"/>
  <c r="E17" i="7"/>
  <c r="D17" i="7"/>
  <c r="C17" i="7"/>
  <c r="I16" i="7"/>
  <c r="H16" i="7"/>
  <c r="G16" i="7"/>
  <c r="E16" i="7"/>
  <c r="D16" i="7"/>
  <c r="C16" i="7"/>
  <c r="I15" i="7"/>
  <c r="H15" i="7"/>
  <c r="G15" i="7"/>
  <c r="E15" i="7"/>
  <c r="D15" i="7"/>
  <c r="C15" i="7"/>
  <c r="E12" i="7"/>
  <c r="K12" i="7" s="1"/>
  <c r="K11" i="7"/>
  <c r="M11" i="7" s="1"/>
  <c r="E11" i="7"/>
  <c r="H11" i="7" s="1"/>
  <c r="I11" i="7" s="1"/>
  <c r="D11" i="7"/>
  <c r="C11" i="7" s="1"/>
  <c r="B11" i="7" s="1"/>
  <c r="E10" i="7"/>
  <c r="H10" i="7" s="1"/>
  <c r="I10" i="7" s="1"/>
  <c r="D10" i="7"/>
  <c r="C10" i="7" s="1"/>
  <c r="B10" i="7" s="1"/>
  <c r="E9" i="7"/>
  <c r="K9" i="7" s="1"/>
  <c r="E8" i="7"/>
  <c r="K8" i="7" s="1"/>
  <c r="E7" i="7"/>
  <c r="H7" i="7" s="1"/>
  <c r="I7" i="7" s="1"/>
  <c r="E6" i="7"/>
  <c r="H6" i="7" s="1"/>
  <c r="I6" i="7" s="1"/>
  <c r="D6" i="7"/>
  <c r="C6" i="7" s="1"/>
  <c r="B6" i="7" s="1"/>
  <c r="E5" i="7"/>
  <c r="K5" i="7" s="1"/>
  <c r="D7" i="7" l="1"/>
  <c r="C7" i="7" s="1"/>
  <c r="B7" i="7" s="1"/>
  <c r="H12" i="7"/>
  <c r="I12" i="7" s="1"/>
  <c r="H8" i="7"/>
  <c r="I8" i="7" s="1"/>
  <c r="K10" i="7"/>
  <c r="M10" i="7" s="1"/>
  <c r="C22" i="7"/>
  <c r="E35" i="7" s="1"/>
  <c r="X16" i="4"/>
  <c r="D32" i="4"/>
  <c r="K6" i="7"/>
  <c r="L6" i="7" s="1"/>
  <c r="K7" i="7"/>
  <c r="M7" i="7" s="1"/>
  <c r="E25" i="5"/>
  <c r="E21" i="5"/>
  <c r="C4" i="5" s="1"/>
  <c r="M5" i="7"/>
  <c r="L5" i="7"/>
  <c r="L8" i="7"/>
  <c r="M8" i="7"/>
  <c r="L12" i="7"/>
  <c r="M12" i="7"/>
  <c r="M9" i="7"/>
  <c r="L9" i="7"/>
  <c r="H5" i="7"/>
  <c r="I5" i="7" s="1"/>
  <c r="H9" i="7"/>
  <c r="I9" i="7" s="1"/>
  <c r="L10" i="7"/>
  <c r="M6" i="7"/>
  <c r="D8" i="7"/>
  <c r="C8" i="7" s="1"/>
  <c r="B8" i="7" s="1"/>
  <c r="L11" i="7"/>
  <c r="D12" i="7"/>
  <c r="C12" i="7" s="1"/>
  <c r="B12" i="7" s="1"/>
  <c r="D22" i="7"/>
  <c r="D5" i="7"/>
  <c r="C5" i="7" s="1"/>
  <c r="B5" i="7" s="1"/>
  <c r="D9" i="7"/>
  <c r="C9" i="7" s="1"/>
  <c r="B9" i="7" s="1"/>
  <c r="E23" i="7"/>
  <c r="C23" i="7" s="1"/>
  <c r="D23" i="7" s="1"/>
  <c r="F23" i="7" s="1"/>
  <c r="E24" i="7"/>
  <c r="C24" i="7" s="1"/>
  <c r="D24" i="7" s="1"/>
  <c r="F24" i="7" s="1"/>
  <c r="E25" i="7"/>
  <c r="C25" i="7" s="1"/>
  <c r="D25" i="7" s="1"/>
  <c r="F25" i="7" s="1"/>
  <c r="E26" i="7"/>
  <c r="C26" i="7" s="1"/>
  <c r="D26" i="7" s="1"/>
  <c r="F26" i="7" s="1"/>
  <c r="E27" i="7"/>
  <c r="C27" i="7" s="1"/>
  <c r="D27" i="7" s="1"/>
  <c r="F27" i="7" s="1"/>
  <c r="E28" i="7"/>
  <c r="C28" i="7" s="1"/>
  <c r="D28" i="7" s="1"/>
  <c r="F28" i="7" s="1"/>
  <c r="E29" i="7"/>
  <c r="C29" i="7" s="1"/>
  <c r="D29" i="7" s="1"/>
  <c r="F29" i="7" s="1"/>
  <c r="E30" i="7"/>
  <c r="C30" i="7" s="1"/>
  <c r="D30" i="7" s="1"/>
  <c r="F30" i="7" s="1"/>
  <c r="E31" i="7"/>
  <c r="C31" i="7" s="1"/>
  <c r="D31" i="7" s="1"/>
  <c r="F31" i="7" s="1"/>
  <c r="AD16" i="4" l="1"/>
  <c r="F32" i="4" s="1"/>
  <c r="E32" i="4"/>
  <c r="L7" i="7"/>
  <c r="E36" i="7"/>
  <c r="F22" i="7"/>
</calcChain>
</file>

<file path=xl/sharedStrings.xml><?xml version="1.0" encoding="utf-8"?>
<sst xmlns="http://schemas.openxmlformats.org/spreadsheetml/2006/main" count="319" uniqueCount="260">
  <si>
    <t>Typical Rates for RTF Activities</t>
  </si>
  <si>
    <t>Periodic Salary Estimates</t>
  </si>
  <si>
    <t>Annual</t>
  </si>
  <si>
    <t>Month</t>
  </si>
  <si>
    <t>Week</t>
  </si>
  <si>
    <t>Day</t>
  </si>
  <si>
    <t>Hour</t>
  </si>
  <si>
    <t>1 day/wk</t>
  </si>
  <si>
    <t>2 day/wk</t>
  </si>
  <si>
    <t>1 day/mo</t>
  </si>
  <si>
    <t>2 day/mo</t>
  </si>
  <si>
    <t>3 day/mo</t>
  </si>
  <si>
    <t>ESTIMATOR</t>
  </si>
  <si>
    <t>Technical Work Rates</t>
  </si>
  <si>
    <t>Rate</t>
  </si>
  <si>
    <t>1 Day</t>
  </si>
  <si>
    <t>2 Day</t>
  </si>
  <si>
    <t>3 Day</t>
  </si>
  <si>
    <t>1 Week</t>
  </si>
  <si>
    <t>2 Week</t>
  </si>
  <si>
    <t>3 Week</t>
  </si>
  <si>
    <t>Percent of Year</t>
  </si>
  <si>
    <t>Percent of time</t>
  </si>
  <si>
    <t>Hours per year</t>
  </si>
  <si>
    <t>Hours per Month</t>
  </si>
  <si>
    <t>Hours per Week</t>
  </si>
  <si>
    <t>Days per Month</t>
  </si>
  <si>
    <t>Inputs</t>
  </si>
  <si>
    <t>Result</t>
  </si>
  <si>
    <t>hrs/year</t>
  </si>
  <si>
    <t>hrs/mo</t>
  </si>
  <si>
    <t>hrs/week</t>
  </si>
  <si>
    <t>Percent time</t>
  </si>
  <si>
    <t>Enter all-in staff rate</t>
  </si>
  <si>
    <t>FTE</t>
  </si>
  <si>
    <t>Name</t>
  </si>
  <si>
    <t>Admin Area</t>
  </si>
  <si>
    <t>Estimated Fraction of Time on RTF Administration</t>
  </si>
  <si>
    <t>Estimated Fraction of Time on RTF Technical Work</t>
  </si>
  <si>
    <t>Total Fraction FTE to RTF</t>
  </si>
  <si>
    <t>Ben Kujala</t>
  </si>
  <si>
    <t xml:space="preserve">Division Director </t>
  </si>
  <si>
    <t>Charlie Grist</t>
  </si>
  <si>
    <t>Manager of Conservation Resources</t>
  </si>
  <si>
    <t>Massoud Jourabchi</t>
  </si>
  <si>
    <t>Load Forecast Economics</t>
  </si>
  <si>
    <t>Tina Jayaweera</t>
  </si>
  <si>
    <t>Senior Energy Analyst</t>
  </si>
  <si>
    <t>Kevin Smith</t>
  </si>
  <si>
    <t>Senior Energy Efficiency Analyst</t>
  </si>
  <si>
    <t>Trina Gerlack</t>
  </si>
  <si>
    <t>Travel</t>
  </si>
  <si>
    <t>Michael Osborne</t>
  </si>
  <si>
    <t>Billing</t>
  </si>
  <si>
    <t>Legal &amp; Contracts</t>
  </si>
  <si>
    <t>Sandra Hirotsu</t>
  </si>
  <si>
    <t>Financials &amp; Contracts</t>
  </si>
  <si>
    <t>Judi Hertz</t>
  </si>
  <si>
    <t>Contracts</t>
  </si>
  <si>
    <t>Carol Winkel</t>
  </si>
  <si>
    <t>RTF Annual Report</t>
  </si>
  <si>
    <t>Jennifer Light</t>
  </si>
  <si>
    <t>RTF Manager, RTF Chair</t>
  </si>
  <si>
    <t>With RTF Manager as part of RTF funds</t>
  </si>
  <si>
    <t>Table of Contents</t>
  </si>
  <si>
    <t>Estimate of NPCC Contribution</t>
  </si>
  <si>
    <t>Estimate of NPCC Staff Administration Cost for RTF (2020)</t>
  </si>
  <si>
    <t>Annika Roberts</t>
  </si>
  <si>
    <t>Admin</t>
  </si>
  <si>
    <t>Bethany Slyter</t>
  </si>
  <si>
    <t>Andrea Goodwin</t>
  </si>
  <si>
    <t>Category Detail for 2020</t>
  </si>
  <si>
    <t>Enter Values in these columns for UES/Protocol</t>
  </si>
  <si>
    <t>Detail by Category</t>
  </si>
  <si>
    <t>Contract RFP</t>
  </si>
  <si>
    <t>Contract Analyst Team</t>
  </si>
  <si>
    <t>RTF Manager</t>
  </si>
  <si>
    <t>Subtotal
Funders</t>
  </si>
  <si>
    <t>Sub-section % of total</t>
  </si>
  <si>
    <t>n units</t>
  </si>
  <si>
    <t>Contract cost per unit</t>
  </si>
  <si>
    <t>Contract Analyst Team cost per unit</t>
  </si>
  <si>
    <t>RTF Manager cost per unit</t>
  </si>
  <si>
    <t>Council Staff cost per unit</t>
  </si>
  <si>
    <t>Notes</t>
  </si>
  <si>
    <t>Electric Only UES slated to sunset</t>
  </si>
  <si>
    <t>Anticipate 9 electric only measures to sunset in 2020. Measure analysis sheet has more information for out years.</t>
  </si>
  <si>
    <t>Electric Only Standard Protocol slated to sunset</t>
  </si>
  <si>
    <t xml:space="preserve">Anticipate updates to 2 electric only standard protocols in 2020. Measure analysis sheet has more information for out years. There are currently no dual fuel standard protocols. </t>
  </si>
  <si>
    <t>Duel Fuel UES/Standard Protocol slated to sunset</t>
  </si>
  <si>
    <t xml:space="preserve">Anticipate 10 measures that sunset in 2020. </t>
  </si>
  <si>
    <t>Duel Fuel UES updates - gas portion only in advance of sunset date</t>
  </si>
  <si>
    <t>Estimate gas savings for SF and MH weatherization measures. Electric side to be completed in 2019, this would fill in gas. Future updates would be on schedule with electric side.</t>
  </si>
  <si>
    <t xml:space="preserve"> </t>
  </si>
  <si>
    <t>Development of new measures for Small &amp; Rural utilities</t>
  </si>
  <si>
    <t>Support contract analyst and potential contract RFP time for subcommittee management and potential measure development. Supports Bonneville's small and rural utilities.</t>
  </si>
  <si>
    <t>Develop new electric-only measurse</t>
  </si>
  <si>
    <t>Anticipate several new measures from 2021 Plan development work. Uncertainty in fuel mix, and proposing to focus on electric primarily at this time.</t>
  </si>
  <si>
    <t>Develop new dual fuel measures</t>
  </si>
  <si>
    <t>Allocating a small portion of funding for potential new measures that might support both gas and electric savings analysis.</t>
  </si>
  <si>
    <t>Development of new gas-only measures</t>
  </si>
  <si>
    <t>This would phase in with the measure development. Identified 5 total potential measures over the next 5 years. More detail on measure analysis tab.</t>
  </si>
  <si>
    <t>Continued enhancement of Impact Evaluation Guidance</t>
  </si>
  <si>
    <t xml:space="preserve">Supports impact evaluation for whole building type programs, which would provide both electric and gas savings. </t>
  </si>
  <si>
    <t>Standardization of Technical Analysis</t>
  </si>
  <si>
    <t>Guidelines review and updates</t>
  </si>
  <si>
    <t>n/a</t>
  </si>
  <si>
    <t>Minimal work estimated for core portion of Guidelines. Focus on gas only portion in 2020.</t>
  </si>
  <si>
    <t>Standard Information Workbook updates</t>
  </si>
  <si>
    <t>Assume no analyst time in 2020. Work will scale up in out years.</t>
  </si>
  <si>
    <t>Coordination and review across measures</t>
  </si>
  <si>
    <t>Assumes 15% of CAT meeting time and internal review of each others measures. This directly supports measure development and other work efforts.</t>
  </si>
  <si>
    <t>Updates to Guidelines and SIW for gas specific measures</t>
  </si>
  <si>
    <t>Assumes a small task order and some CAT time to ensure SIW and Guidelines are supprotive of natural gas. More work may occur in out-years as we gain more experience.</t>
  </si>
  <si>
    <t>Tool Development</t>
  </si>
  <si>
    <t>ProCost: Engine updates and ongoing maintenance</t>
  </si>
  <si>
    <t>Assumes minimal updates to support enhancements tied to 2021 Plan. Additional support likely needed in out years.</t>
  </si>
  <si>
    <t>SEEM: Ongoing maintenance and other updates</t>
  </si>
  <si>
    <t>SEEM calibration is complete. Anticipate limited efforts for maintenance/upgrades for 2020. Additional support likely needed in out years.</t>
  </si>
  <si>
    <t>EnergyPlus: Commercial building model maintenance</t>
  </si>
  <si>
    <t>EnergyPlus model development is complete. CBSA anticipated by 2020. Likely will make some updates to account for CBSA findings. Additional support likely needed in out years.</t>
  </si>
  <si>
    <t>Adapting models for climate change</t>
  </si>
  <si>
    <t>Accounting for extreme weather by adapting weather files to reflect anticipated weather conditions and ensure SEEM and EnergyPlus appropraitely incorporate changes</t>
  </si>
  <si>
    <t>Updates to ProCost to support gas analysis</t>
  </si>
  <si>
    <t>Assumes 4+ weeks of analst time to support initial enhancements for gas.</t>
  </si>
  <si>
    <t>Regional Coordination on Energy Efficiency</t>
  </si>
  <si>
    <t>Regional Research Coordination</t>
  </si>
  <si>
    <t>10% of 1 analysts time, plus other CAT coordination, to track research related to RTF measure analysis. RTF Manager coordination accounted for below.</t>
  </si>
  <si>
    <t>Council Plan Support</t>
  </si>
  <si>
    <t>Assumes some support for 2021 Plan (~1.5 months total of analyst time). Additional support likely needed in out years.</t>
  </si>
  <si>
    <t>Market Analysis: NEEA/BPA Research Review</t>
  </si>
  <si>
    <t>10% of 2 analysts time, plus other CAT coordination, to track research related to RTF measure analysis. RTF Manager coordination accounted for below.</t>
  </si>
  <si>
    <t>Market Analysis: Sub-Regional Market Data and Analysis</t>
  </si>
  <si>
    <t xml:space="preserve">Ongoing interest area. Should data be available to estimate sub-regional baselines, CAT (or contractor) could do analysis. </t>
  </si>
  <si>
    <t>Savings Shape Development</t>
  </si>
  <si>
    <t>Assumes development of savings shapes from residential and commercial end use studies. Develop methodology, analyze data, create shapes. Ramps up to 10% two analsysts time.</t>
  </si>
  <si>
    <t>Regional Study on EE Values (ex. Deep Decarbonization)</t>
  </si>
  <si>
    <t>Regional interest in deep decarbonization and accounting for carbon. RTF to look at technical aspects of impacts by technology and appliation, including potential impacts of code. Minimal scoping in 2020.</t>
  </si>
  <si>
    <t>Demand Response Products</t>
  </si>
  <si>
    <t>Develop DR Technology Supply Curve Inputs</t>
  </si>
  <si>
    <t>Assumes steady volume of DR work, including technical analysis, tool enhancment, portion of the load profile activities</t>
  </si>
  <si>
    <t>Website: Development and Management</t>
  </si>
  <si>
    <t>Annual Regional Conservation Progress Report</t>
  </si>
  <si>
    <t>Assumes contracting out most of data analysis, some contract analyst support (~1 week for one analyst). Focus is on tracking electric savings</t>
  </si>
  <si>
    <t>RTF Meetings and Member Support</t>
  </si>
  <si>
    <t>RTF Meetings, phone, web conference, meeting minutes</t>
  </si>
  <si>
    <t>RTF Members and Contract Analyst RTF Meeting Participation Travel</t>
  </si>
  <si>
    <t>RTF member support for meetings, travel, and specific project reviews; based on past years with some adder for more member support, Assumes 5% of analyst time plus some travel</t>
  </si>
  <si>
    <t>RTF Management</t>
  </si>
  <si>
    <t xml:space="preserve">Manage RTF work flow, develop agenda &amp; procedures &amp; budgets &amp; SOWs </t>
  </si>
  <si>
    <t>RTF Manager time spent on improving general RTF processes</t>
  </si>
  <si>
    <t>Review,  Analytical, and Subcommittee Support</t>
  </si>
  <si>
    <t>RTF Manager time spent reviewing work products and engaging with subcommittees</t>
  </si>
  <si>
    <t xml:space="preserve">Manage RTF business activities, contracts, financial, bylaws, RTF PAC </t>
  </si>
  <si>
    <t>PAC materials preparation, contract and task order development, various business activities. Contract for Audit (estimated based on 2018 amount).</t>
  </si>
  <si>
    <t>RTF Outreach and Training</t>
  </si>
  <si>
    <t>Guidelines training, webinars, presentations related to RTF matters. Minimal contract analyst support</t>
  </si>
  <si>
    <t>Annual Report</t>
  </si>
  <si>
    <t>Development of Annual Report</t>
  </si>
  <si>
    <t>RTF/Council Coordination</t>
  </si>
  <si>
    <t>Council meetings and other coordination with broader Council efforts</t>
  </si>
  <si>
    <t>Travel to relevant Council meetings, related conferences, and other related regional travel</t>
  </si>
  <si>
    <t>Total New Work</t>
  </si>
  <si>
    <t>WORK PLAN METRICS</t>
  </si>
  <si>
    <t>% Split by Allocation (Contract RFP):</t>
  </si>
  <si>
    <t>% Split by Allocation (Contract Analyst Team):</t>
  </si>
  <si>
    <t>% Split by Allocation (RTF Manager):</t>
  </si>
  <si>
    <t>QC Contract amount allocated:</t>
  </si>
  <si>
    <t>Equivalent Contract Analyst FTE:</t>
  </si>
  <si>
    <t>Equivalent Council Staff FTE:</t>
  </si>
  <si>
    <t>Category Level Budget for 2020-2024</t>
  </si>
  <si>
    <t>Wage + Inflation Rate:</t>
  </si>
  <si>
    <t>Proposed Calendar 2020</t>
  </si>
  <si>
    <t>Estimated 2021</t>
  </si>
  <si>
    <t>Estimated 2022</t>
  </si>
  <si>
    <t>Estimated 2023</t>
  </si>
  <si>
    <t>Estimated 2024</t>
  </si>
  <si>
    <t>Category</t>
  </si>
  <si>
    <t>Subtotal Funders</t>
  </si>
  <si>
    <t>Major RTF Functions</t>
  </si>
  <si>
    <t>2024 Est.</t>
  </si>
  <si>
    <t>Net Change</t>
  </si>
  <si>
    <t>Measure Updates and New Development</t>
  </si>
  <si>
    <t>Estimated based on sunset dates, likely frequency of updates, measure status, etc. Anticipating lots of updates in 2021 and 2024, including more new measures tied to Plan scoping. Guidelines and SIW work is less frequent.</t>
  </si>
  <si>
    <t>Anticipate post 2021 Plan updates to ProCost. Climate modeling work heavy post plan in 2021 and 2022. Anticipate enhancements to ProCost and SEEM in 2024 with new RBSA and prep for next Plan (9P).</t>
  </si>
  <si>
    <t>Regional research coordination fairly flat/steady. Council Plan support minimal in 2021-2023, but ramping up. Focus on post-Plan analysis, savings shape, and decarbonization in 2021-2023.</t>
  </si>
  <si>
    <t>Demand Response</t>
  </si>
  <si>
    <t>Not currently included in the budget</t>
  </si>
  <si>
    <t>RTF Base Operations</t>
  </si>
  <si>
    <t>Increase in member budgets by 5% in 2022 to account for new members with potential increase in support. Assuming any other increases tied to wage/inflation.</t>
  </si>
  <si>
    <t>Total</t>
  </si>
  <si>
    <t>Subtotal New Work</t>
  </si>
  <si>
    <t>Council Staff</t>
  </si>
  <si>
    <t>Council Staff FTE</t>
  </si>
  <si>
    <t>Total Funding Increase</t>
  </si>
  <si>
    <t>Annual increase year to year</t>
  </si>
  <si>
    <t>Annual increase from 2020 base year</t>
  </si>
  <si>
    <t>Electric</t>
  </si>
  <si>
    <t>Gas</t>
  </si>
  <si>
    <t>Proposed 2020</t>
  </si>
  <si>
    <t>% of total</t>
  </si>
  <si>
    <t>Technical Analysis</t>
  </si>
  <si>
    <t>Contract Analysts</t>
  </si>
  <si>
    <t xml:space="preserve">Tool Development and Regional Coordination </t>
  </si>
  <si>
    <t>Regional Coordination</t>
  </si>
  <si>
    <t>Administration</t>
  </si>
  <si>
    <t>Total Including Council Contribution</t>
  </si>
  <si>
    <t>Council Contribution</t>
  </si>
  <si>
    <t>Council Staff Contribution</t>
  </si>
  <si>
    <t xml:space="preserve">Minutes $22K, phone/web conference $4K, Lunches $6K. Council staff contribution for meeting support. </t>
  </si>
  <si>
    <t xml:space="preserve">Assumes Council contributes fully to RTF site. </t>
  </si>
  <si>
    <t>Category Level Budget &amp; Historical Comparison</t>
  </si>
  <si>
    <t>Final 2019</t>
  </si>
  <si>
    <t>Final 2018</t>
  </si>
  <si>
    <t>RTF Contract Analyst Team</t>
  </si>
  <si>
    <t>Subtotoal Funders</t>
  </si>
  <si>
    <t>Existing Measure Maintenance</t>
  </si>
  <si>
    <t>New Measure Development</t>
  </si>
  <si>
    <t>Website and Regional Conservation Progress</t>
  </si>
  <si>
    <t>RTF Meeting Support</t>
  </si>
  <si>
    <t>Sheet Name</t>
  </si>
  <si>
    <t>Typical Rates</t>
  </si>
  <si>
    <t xml:space="preserve">Assumptions used to estimate approximate costs of contractor, and RTF staff work.  Use as a reference.    </t>
  </si>
  <si>
    <t>Funding Shares</t>
  </si>
  <si>
    <t>Category (2020)</t>
  </si>
  <si>
    <t>Category Detail (2020)</t>
  </si>
  <si>
    <t>Category (2020-2024)</t>
  </si>
  <si>
    <t>NPCC Contribution</t>
  </si>
  <si>
    <t xml:space="preserve">Category-level budget for 2020.  High-level division of RTF work product categories. This provides a comparison of the proposed budget for 2020 to the previously two years of the RTF. All data in this sheet are either linked to "Category Detail (2020)" or hard coded based on past years. Do not make changes on this sheet. </t>
  </si>
  <si>
    <t>Detailed budget for 2020. Breaks down the high-level divisions into specific elements with specific costs and specific pacing for each.</t>
  </si>
  <si>
    <t>Five year work plan by category. This is based on setting levels for funding agreements. Out years were developed based on planned work flow and working towards a flat budget. More detail on the out years is provided in the Business Plan.</t>
  </si>
  <si>
    <t>Provides a breakdown of Council staff contributions, in terms of percent of time used to support RTF technical or overhead work. These are rough estimates.</t>
  </si>
  <si>
    <t xml:space="preserve">Funding shares by sponsors based on the NEEA formula and the cost share agreements between gas and electric utilities. </t>
  </si>
  <si>
    <t>Website and Conservation Tracking</t>
  </si>
  <si>
    <t>Tools and Regional Coordination</t>
  </si>
  <si>
    <t>Measure Analysis</t>
  </si>
  <si>
    <t>Percent</t>
  </si>
  <si>
    <t>Proposed Annual Funding Shares</t>
  </si>
  <si>
    <t>Organization</t>
  </si>
  <si>
    <t>RTF Proposed Funding Shares</t>
  </si>
  <si>
    <t>Share of RTF Budget (rounded)**</t>
  </si>
  <si>
    <t>Bonneville Power Administration</t>
  </si>
  <si>
    <t>Energy Trust of Oregon</t>
  </si>
  <si>
    <t>Puget Sound Energy</t>
  </si>
  <si>
    <t>Idaho Power Company</t>
  </si>
  <si>
    <t>Avista Corporation, Inc</t>
  </si>
  <si>
    <t>PacifiCorp (Washington)</t>
  </si>
  <si>
    <t>PacifiCorp (Idaho)</t>
  </si>
  <si>
    <t>Seattle City Light</t>
  </si>
  <si>
    <t>PUD No 1 of Clark County</t>
  </si>
  <si>
    <t>Tacoma Power</t>
  </si>
  <si>
    <t>Snohomish County PUD</t>
  </si>
  <si>
    <t>Eugene Water and Electric</t>
  </si>
  <si>
    <t>Chelan County</t>
  </si>
  <si>
    <t>PUD No 1 of Cowlitz County</t>
  </si>
  <si>
    <t>Cascade Natural Gas</t>
  </si>
  <si>
    <t>NW Natural</t>
  </si>
  <si>
    <t>NorthWestern Energy*</t>
  </si>
  <si>
    <t>*NorthWestern's share represents 52% of NEEA allocation.</t>
  </si>
  <si>
    <t>Final 2020 RTF Work Plan, Approved by the Council on October 16,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</si>
</sst>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_([$$-409]* #,##0.00_);_([$$-409]* \(#,##0.00\);_([$$-409]* &quot;-&quot;??_);_(@_)"/>
    <numFmt numFmtId="165" formatCode="&quot;$&quot;#,##0.00"/>
    <numFmt numFmtId="166" formatCode="&quot;$&quot;#,##0"/>
    <numFmt numFmtId="167" formatCode="0.0"/>
    <numFmt numFmtId="168" formatCode="&quot;$&quot;#,##0.0"/>
    <numFmt numFmtId="169" formatCode="&quot;$&quot;#,##0.0_);\(&quot;$&quot;#,##0.0\)"/>
    <numFmt numFmtId="170" formatCode="_(&quot;$&quot;* #,##0_);_(&quot;$&quot;* \(#,##0\);_(&quot;$&quot;* &quot;-&quot;??_);_(@_)"/>
    <numFmt numFmtId="171" formatCode="_(* #,##0.0_);_(* \(#,##0.0\);_(* &quot;-&quot;??_);_(@_)"/>
    <numFmt numFmtId="172" formatCode="_(&quot;$&quot;* #,##0.0_);_(&quot;$&quot;* \(#,##0.0\);_(&quot;$&quot;* &quot;-&quot;??_);_(@_)"/>
    <numFmt numFmtId="173" formatCode="#,##0.0_);\(#,##0.0\)"/>
  </numFmts>
  <fonts count="22" x14ac:knownFonts="1">
    <font>
      <sz val="10"/>
      <color theme="1"/>
      <name val="Arial"/>
      <family val="2"/>
    </font>
    <font>
      <sz val="10"/>
      <color theme="1"/>
      <name val="Arial"/>
      <family val="2"/>
    </font>
    <font>
      <sz val="12"/>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sz val="12"/>
      <name val="Calibri"/>
      <family val="2"/>
      <scheme val="minor"/>
    </font>
    <font>
      <sz val="12"/>
      <color theme="0"/>
      <name val="Calibri"/>
      <family val="2"/>
      <scheme val="minor"/>
    </font>
    <font>
      <sz val="11"/>
      <color theme="0"/>
      <name val="Calibri"/>
      <family val="2"/>
      <scheme val="minor"/>
    </font>
    <font>
      <b/>
      <sz val="11"/>
      <color theme="0"/>
      <name val="Calibri"/>
      <family val="2"/>
      <scheme val="minor"/>
    </font>
    <font>
      <sz val="10"/>
      <name val="Arial"/>
      <family val="2"/>
    </font>
    <font>
      <i/>
      <sz val="12"/>
      <name val="Calibri"/>
      <family val="2"/>
      <scheme val="minor"/>
    </font>
    <font>
      <b/>
      <sz val="12"/>
      <name val="Calibri"/>
      <family val="2"/>
      <scheme val="minor"/>
    </font>
    <font>
      <i/>
      <sz val="12"/>
      <color theme="1"/>
      <name val="Calibri"/>
      <family val="2"/>
      <scheme val="minor"/>
    </font>
    <font>
      <b/>
      <sz val="12"/>
      <color indexed="8"/>
      <name val="Calibri"/>
      <family val="2"/>
      <scheme val="minor"/>
    </font>
    <font>
      <sz val="12"/>
      <color rgb="FF000000"/>
      <name val="Calibri"/>
      <family val="2"/>
      <scheme val="minor"/>
    </font>
    <font>
      <sz val="12"/>
      <color indexed="8"/>
      <name val="Calibri"/>
      <family val="2"/>
      <scheme val="minor"/>
    </font>
    <font>
      <sz val="12"/>
      <color rgb="FF00B050"/>
      <name val="Calibri"/>
      <family val="2"/>
      <scheme val="minor"/>
    </font>
    <font>
      <i/>
      <sz val="12"/>
      <color rgb="FFFF0000"/>
      <name val="Calibri"/>
      <family val="2"/>
      <scheme val="minor"/>
    </font>
    <font>
      <b/>
      <sz val="11"/>
      <color theme="1"/>
      <name val="Calibri"/>
      <family val="2"/>
      <scheme val="minor"/>
    </font>
    <font>
      <sz val="11"/>
      <color theme="1"/>
      <name val="Calibri"/>
      <family val="2"/>
      <scheme val="minor"/>
    </font>
  </fonts>
  <fills count="23">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rgb="FFFFFF99"/>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thin">
        <color auto="1"/>
      </top>
      <bottom style="thin">
        <color auto="1"/>
      </bottom>
      <diagonal/>
    </border>
    <border>
      <left/>
      <right style="medium">
        <color auto="1"/>
      </right>
      <top/>
      <bottom style="medium">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1" fillId="0" borderId="0"/>
    <xf numFmtId="44" fontId="11" fillId="0" borderId="0" applyFont="0" applyFill="0" applyBorder="0" applyAlignment="0" applyProtection="0"/>
    <xf numFmtId="43" fontId="11" fillId="0" borderId="0" applyFont="0" applyFill="0" applyBorder="0" applyAlignment="0" applyProtection="0"/>
  </cellStyleXfs>
  <cellXfs count="394">
    <xf numFmtId="0" fontId="0" fillId="0" borderId="0" xfId="0"/>
    <xf numFmtId="0" fontId="2" fillId="0" borderId="0" xfId="0" applyFont="1"/>
    <xf numFmtId="0" fontId="3" fillId="0" borderId="0" xfId="0" applyFont="1"/>
    <xf numFmtId="0" fontId="4" fillId="0" borderId="0" xfId="0" applyFont="1"/>
    <xf numFmtId="0" fontId="5" fillId="2" borderId="0" xfId="0" applyFont="1" applyFill="1"/>
    <xf numFmtId="0" fontId="2" fillId="2" borderId="0" xfId="0" applyFont="1" applyFill="1"/>
    <xf numFmtId="5" fontId="2" fillId="0" borderId="0" xfId="0" applyNumberFormat="1" applyFont="1"/>
    <xf numFmtId="5" fontId="2" fillId="0" borderId="0" xfId="2" applyNumberFormat="1" applyFont="1" applyAlignment="1">
      <alignment horizontal="center" vertical="center"/>
    </xf>
    <xf numFmtId="0" fontId="2" fillId="0" borderId="0" xfId="0" applyFont="1" applyAlignment="1">
      <alignment horizontal="right"/>
    </xf>
    <xf numFmtId="0" fontId="2" fillId="3" borderId="0" xfId="0" applyFont="1" applyFill="1"/>
    <xf numFmtId="0" fontId="5" fillId="2" borderId="1" xfId="0" applyFont="1" applyFill="1" applyBorder="1" applyAlignment="1">
      <alignment wrapText="1"/>
    </xf>
    <xf numFmtId="0" fontId="5" fillId="2" borderId="2" xfId="0" applyFont="1" applyFill="1" applyBorder="1" applyAlignment="1">
      <alignment wrapText="1"/>
    </xf>
    <xf numFmtId="0" fontId="5" fillId="2" borderId="3" xfId="0" applyFont="1" applyFill="1" applyBorder="1" applyAlignment="1">
      <alignment wrapText="1"/>
    </xf>
    <xf numFmtId="9" fontId="2" fillId="0" borderId="4" xfId="0" applyNumberFormat="1" applyFont="1" applyBorder="1"/>
    <xf numFmtId="0" fontId="2" fillId="0" borderId="0" xfId="0" applyFont="1" applyBorder="1"/>
    <xf numFmtId="1" fontId="2" fillId="0" borderId="0" xfId="0" applyNumberFormat="1" applyFont="1" applyBorder="1"/>
    <xf numFmtId="1" fontId="2" fillId="0" borderId="5" xfId="0" applyNumberFormat="1" applyFont="1" applyBorder="1"/>
    <xf numFmtId="164" fontId="2" fillId="0" borderId="0" xfId="0" applyNumberFormat="1" applyFont="1"/>
    <xf numFmtId="2" fontId="6" fillId="0" borderId="0" xfId="0" applyNumberFormat="1" applyFont="1" applyFill="1"/>
    <xf numFmtId="0" fontId="6" fillId="0" borderId="0" xfId="0" applyFont="1" applyFill="1"/>
    <xf numFmtId="0" fontId="7" fillId="0" borderId="0" xfId="0" applyFont="1" applyFill="1"/>
    <xf numFmtId="7" fontId="7" fillId="0" borderId="0" xfId="0" applyNumberFormat="1" applyFont="1" applyFill="1"/>
    <xf numFmtId="0" fontId="7" fillId="0" borderId="0" xfId="0" applyFont="1"/>
    <xf numFmtId="165" fontId="6" fillId="0" borderId="0" xfId="0" applyNumberFormat="1" applyFont="1" applyFill="1"/>
    <xf numFmtId="0" fontId="8" fillId="0" borderId="0" xfId="0" applyFont="1" applyFill="1"/>
    <xf numFmtId="2" fontId="6" fillId="0" borderId="0" xfId="0" applyNumberFormat="1" applyFont="1"/>
    <xf numFmtId="0" fontId="9" fillId="0" borderId="0" xfId="0" applyFont="1" applyFill="1"/>
    <xf numFmtId="166" fontId="9" fillId="0" borderId="0" xfId="2" applyNumberFormat="1" applyFont="1" applyFill="1"/>
    <xf numFmtId="164" fontId="9" fillId="0" borderId="0" xfId="0" applyNumberFormat="1" applyFont="1" applyFill="1"/>
    <xf numFmtId="7" fontId="8" fillId="0" borderId="0" xfId="0" applyNumberFormat="1" applyFont="1" applyFill="1"/>
    <xf numFmtId="164" fontId="7" fillId="0" borderId="0" xfId="0" applyNumberFormat="1" applyFont="1" applyFill="1"/>
    <xf numFmtId="0" fontId="6" fillId="0" borderId="0" xfId="0" applyFont="1"/>
    <xf numFmtId="164" fontId="8" fillId="0" borderId="0" xfId="0" applyNumberFormat="1" applyFont="1" applyFill="1"/>
    <xf numFmtId="167" fontId="2" fillId="0" borderId="5" xfId="0" applyNumberFormat="1" applyFont="1" applyBorder="1"/>
    <xf numFmtId="9" fontId="2" fillId="0" borderId="6" xfId="0" applyNumberFormat="1" applyFont="1" applyBorder="1"/>
    <xf numFmtId="1" fontId="2" fillId="0" borderId="7" xfId="0" applyNumberFormat="1" applyFont="1" applyBorder="1"/>
    <xf numFmtId="0" fontId="2" fillId="0" borderId="7" xfId="0" applyFont="1" applyBorder="1"/>
    <xf numFmtId="167" fontId="2" fillId="0" borderId="8" xfId="0" applyNumberFormat="1" applyFont="1" applyBorder="1"/>
    <xf numFmtId="166" fontId="6" fillId="0" borderId="0" xfId="2" applyNumberFormat="1" applyFont="1" applyFill="1"/>
    <xf numFmtId="0" fontId="2" fillId="0" borderId="12" xfId="0" applyFont="1" applyBorder="1" applyAlignment="1">
      <alignment horizontal="center"/>
    </xf>
    <xf numFmtId="5" fontId="6" fillId="0" borderId="0" xfId="0" applyNumberFormat="1" applyFont="1" applyFill="1"/>
    <xf numFmtId="0" fontId="2" fillId="0" borderId="12" xfId="0" applyFont="1" applyBorder="1" applyAlignment="1">
      <alignment horizontal="left"/>
    </xf>
    <xf numFmtId="166" fontId="10" fillId="0" borderId="0" xfId="2" applyNumberFormat="1" applyFont="1" applyFill="1"/>
    <xf numFmtId="0" fontId="2" fillId="4" borderId="12" xfId="0" applyFont="1" applyFill="1" applyBorder="1" applyAlignment="1">
      <alignment horizontal="center"/>
    </xf>
    <xf numFmtId="0" fontId="2" fillId="5" borderId="12" xfId="0" applyFont="1" applyFill="1" applyBorder="1" applyAlignment="1">
      <alignment horizontal="center"/>
    </xf>
    <xf numFmtId="9" fontId="2" fillId="0" borderId="12" xfId="4" applyFont="1" applyBorder="1" applyAlignment="1">
      <alignment horizontal="center"/>
    </xf>
    <xf numFmtId="0" fontId="10" fillId="0" borderId="0" xfId="0" applyFont="1" applyFill="1"/>
    <xf numFmtId="164" fontId="10" fillId="0" borderId="0" xfId="0" applyNumberFormat="1" applyFont="1" applyFill="1"/>
    <xf numFmtId="164" fontId="9" fillId="0" borderId="0" xfId="3" applyNumberFormat="1" applyFont="1" applyFill="1"/>
    <xf numFmtId="165" fontId="7" fillId="0" borderId="0" xfId="0" applyNumberFormat="1" applyFont="1"/>
    <xf numFmtId="9" fontId="9" fillId="0" borderId="0" xfId="3" applyFont="1" applyFill="1"/>
    <xf numFmtId="168" fontId="7" fillId="0" borderId="0" xfId="0" applyNumberFormat="1" applyFont="1"/>
    <xf numFmtId="166" fontId="10" fillId="0" borderId="0" xfId="0" applyNumberFormat="1" applyFont="1" applyFill="1"/>
    <xf numFmtId="5" fontId="7" fillId="0" borderId="0" xfId="0" applyNumberFormat="1" applyFont="1" applyFill="1"/>
    <xf numFmtId="165" fontId="8" fillId="0" borderId="0" xfId="0" applyNumberFormat="1" applyFont="1" applyFill="1"/>
    <xf numFmtId="9" fontId="2" fillId="0" borderId="0" xfId="3" applyFont="1"/>
    <xf numFmtId="166" fontId="8" fillId="0" borderId="0" xfId="0" applyNumberFormat="1" applyFont="1" applyFill="1"/>
    <xf numFmtId="166" fontId="2" fillId="0" borderId="0" xfId="0" applyNumberFormat="1" applyFont="1"/>
    <xf numFmtId="0" fontId="2" fillId="0" borderId="0" xfId="0" applyFont="1" applyFill="1"/>
    <xf numFmtId="164" fontId="6" fillId="0" borderId="0" xfId="0" applyNumberFormat="1" applyFont="1" applyFill="1"/>
    <xf numFmtId="169" fontId="7" fillId="0" borderId="0" xfId="0" applyNumberFormat="1" applyFont="1" applyFill="1"/>
    <xf numFmtId="0" fontId="12" fillId="0" borderId="0" xfId="0" applyFont="1"/>
    <xf numFmtId="5" fontId="12" fillId="0" borderId="0" xfId="0" applyNumberFormat="1" applyFont="1" applyFill="1"/>
    <xf numFmtId="166" fontId="2" fillId="0" borderId="0" xfId="0" applyNumberFormat="1" applyFont="1" applyFill="1"/>
    <xf numFmtId="0" fontId="12" fillId="0" borderId="0" xfId="0" applyFont="1" applyFill="1"/>
    <xf numFmtId="9" fontId="7" fillId="0" borderId="0" xfId="3" applyFont="1"/>
    <xf numFmtId="5" fontId="13" fillId="0" borderId="0" xfId="0" applyNumberFormat="1" applyFont="1" applyFill="1"/>
    <xf numFmtId="7" fontId="7" fillId="0" borderId="0" xfId="0" applyNumberFormat="1" applyFont="1"/>
    <xf numFmtId="169" fontId="7" fillId="0" borderId="0" xfId="0" applyNumberFormat="1" applyFont="1"/>
    <xf numFmtId="165" fontId="2" fillId="0" borderId="0" xfId="0" applyNumberFormat="1" applyFont="1"/>
    <xf numFmtId="1" fontId="2" fillId="0" borderId="0" xfId="0" applyNumberFormat="1" applyFont="1" applyFill="1"/>
    <xf numFmtId="5" fontId="7" fillId="0" borderId="0" xfId="0" applyNumberFormat="1" applyFont="1"/>
    <xf numFmtId="0" fontId="14" fillId="0" borderId="0" xfId="0" applyFont="1"/>
    <xf numFmtId="0" fontId="7" fillId="0" borderId="0" xfId="5" applyFont="1"/>
    <xf numFmtId="44" fontId="7" fillId="0" borderId="0" xfId="5" applyNumberFormat="1" applyFont="1"/>
    <xf numFmtId="0" fontId="13" fillId="0" borderId="0" xfId="5" applyFont="1" applyFill="1"/>
    <xf numFmtId="0" fontId="7" fillId="0" borderId="0" xfId="5" applyFont="1" applyFill="1"/>
    <xf numFmtId="0" fontId="13" fillId="7" borderId="12" xfId="5" applyFont="1" applyFill="1" applyBorder="1" applyAlignment="1">
      <alignment wrapText="1"/>
    </xf>
    <xf numFmtId="0" fontId="7" fillId="0" borderId="12" xfId="5" applyFont="1" applyBorder="1"/>
    <xf numFmtId="9" fontId="7" fillId="0" borderId="12" xfId="5" applyNumberFormat="1" applyFont="1" applyFill="1" applyBorder="1"/>
    <xf numFmtId="9" fontId="7" fillId="0" borderId="12" xfId="5" applyNumberFormat="1" applyFont="1" applyBorder="1"/>
    <xf numFmtId="0" fontId="7" fillId="0" borderId="12" xfId="5" applyFont="1" applyFill="1" applyBorder="1"/>
    <xf numFmtId="9" fontId="7" fillId="0" borderId="12" xfId="4" applyFont="1" applyFill="1" applyBorder="1"/>
    <xf numFmtId="9" fontId="7" fillId="0" borderId="12" xfId="4" applyFont="1" applyBorder="1"/>
    <xf numFmtId="9" fontId="7" fillId="8" borderId="12" xfId="5" applyNumberFormat="1" applyFont="1" applyFill="1" applyBorder="1"/>
    <xf numFmtId="170" fontId="2" fillId="0" borderId="0" xfId="6" applyNumberFormat="1" applyFont="1" applyFill="1"/>
    <xf numFmtId="0" fontId="13" fillId="0" borderId="0" xfId="5" applyFont="1"/>
    <xf numFmtId="170" fontId="7" fillId="0" borderId="0" xfId="5" applyNumberFormat="1" applyFont="1"/>
    <xf numFmtId="0" fontId="7" fillId="10" borderId="12" xfId="5" applyFont="1" applyFill="1" applyBorder="1"/>
    <xf numFmtId="9" fontId="7" fillId="10" borderId="12" xfId="5" applyNumberFormat="1" applyFont="1" applyFill="1" applyBorder="1"/>
    <xf numFmtId="0" fontId="13" fillId="11" borderId="13" xfId="5" applyFont="1" applyFill="1" applyBorder="1"/>
    <xf numFmtId="171" fontId="13" fillId="11" borderId="12" xfId="7" applyNumberFormat="1" applyFont="1" applyFill="1" applyBorder="1"/>
    <xf numFmtId="0" fontId="13" fillId="11" borderId="12" xfId="5" applyFont="1" applyFill="1" applyBorder="1"/>
    <xf numFmtId="170" fontId="2" fillId="12" borderId="0" xfId="6" applyNumberFormat="1" applyFont="1" applyFill="1"/>
    <xf numFmtId="0" fontId="7" fillId="12" borderId="0" xfId="5" applyFont="1" applyFill="1" applyAlignment="1">
      <alignment horizontal="center"/>
    </xf>
    <xf numFmtId="171" fontId="2" fillId="13" borderId="9" xfId="7" applyNumberFormat="1" applyFont="1" applyFill="1" applyBorder="1"/>
    <xf numFmtId="0" fontId="7" fillId="13" borderId="11" xfId="5" applyFont="1" applyFill="1" applyBorder="1"/>
    <xf numFmtId="0" fontId="15" fillId="0" borderId="12" xfId="0" applyFont="1" applyBorder="1" applyAlignment="1">
      <alignment horizontal="left" wrapText="1"/>
    </xf>
    <xf numFmtId="0" fontId="15" fillId="0" borderId="12" xfId="0" applyFont="1" applyBorder="1" applyAlignment="1">
      <alignment horizontal="center" wrapText="1"/>
    </xf>
    <xf numFmtId="0" fontId="15" fillId="8" borderId="12" xfId="0" applyFont="1" applyFill="1" applyBorder="1" applyAlignment="1">
      <alignment horizontal="center" wrapText="1"/>
    </xf>
    <xf numFmtId="0" fontId="15" fillId="0" borderId="0" xfId="0" applyFont="1" applyAlignment="1">
      <alignment wrapText="1"/>
    </xf>
    <xf numFmtId="0" fontId="15" fillId="15" borderId="0" xfId="0" applyFont="1" applyFill="1"/>
    <xf numFmtId="0" fontId="15" fillId="15" borderId="0" xfId="0" applyFont="1" applyFill="1" applyAlignment="1">
      <alignment wrapText="1"/>
    </xf>
    <xf numFmtId="0" fontId="2" fillId="15" borderId="0" xfId="0" applyFont="1" applyFill="1" applyAlignment="1">
      <alignment wrapText="1"/>
    </xf>
    <xf numFmtId="170" fontId="7" fillId="15" borderId="0" xfId="2" applyNumberFormat="1" applyFont="1" applyFill="1" applyAlignment="1">
      <alignment wrapText="1"/>
    </xf>
    <xf numFmtId="0" fontId="16" fillId="15" borderId="0" xfId="0" applyFont="1" applyFill="1"/>
    <xf numFmtId="5" fontId="7" fillId="15" borderId="0" xfId="2" applyNumberFormat="1" applyFont="1" applyFill="1" applyAlignment="1">
      <alignment horizontal="center" vertical="center"/>
    </xf>
    <xf numFmtId="9" fontId="7" fillId="15" borderId="0" xfId="3" applyFont="1" applyFill="1" applyAlignment="1">
      <alignment wrapText="1"/>
    </xf>
    <xf numFmtId="0" fontId="7" fillId="15" borderId="0" xfId="0" applyFont="1" applyFill="1" applyAlignment="1">
      <alignment wrapText="1"/>
    </xf>
    <xf numFmtId="170" fontId="2" fillId="15" borderId="0" xfId="2" applyNumberFormat="1" applyFont="1" applyFill="1" applyAlignment="1">
      <alignment wrapText="1"/>
    </xf>
    <xf numFmtId="0" fontId="17" fillId="15" borderId="0" xfId="0" applyFont="1" applyFill="1"/>
    <xf numFmtId="5" fontId="13" fillId="15" borderId="0" xfId="2" applyNumberFormat="1" applyFont="1" applyFill="1" applyAlignment="1">
      <alignment horizontal="center" vertical="center"/>
    </xf>
    <xf numFmtId="9" fontId="13" fillId="15" borderId="0" xfId="3" applyFont="1" applyFill="1" applyAlignment="1">
      <alignment wrapText="1"/>
    </xf>
    <xf numFmtId="172" fontId="2" fillId="15" borderId="0" xfId="2" applyNumberFormat="1" applyFont="1" applyFill="1" applyAlignment="1">
      <alignment wrapText="1"/>
    </xf>
    <xf numFmtId="0" fontId="13" fillId="15" borderId="0" xfId="0" applyFont="1" applyFill="1" applyAlignment="1">
      <alignment wrapText="1"/>
    </xf>
    <xf numFmtId="44" fontId="2" fillId="15" borderId="0" xfId="2" applyNumberFormat="1" applyFont="1" applyFill="1" applyAlignment="1">
      <alignment wrapText="1"/>
    </xf>
    <xf numFmtId="0" fontId="7" fillId="15" borderId="0" xfId="0" applyFont="1" applyFill="1" applyAlignment="1">
      <alignment horizontal="right" wrapText="1"/>
    </xf>
    <xf numFmtId="5" fontId="13" fillId="15" borderId="0" xfId="0" applyNumberFormat="1" applyFont="1" applyFill="1" applyAlignment="1">
      <alignment wrapText="1"/>
    </xf>
    <xf numFmtId="0" fontId="2" fillId="15" borderId="0" xfId="0" applyFont="1" applyFill="1"/>
    <xf numFmtId="0" fontId="7" fillId="15" borderId="0" xfId="0" applyFont="1" applyFill="1"/>
    <xf numFmtId="5" fontId="7" fillId="0" borderId="0" xfId="2" applyNumberFormat="1" applyFont="1" applyFill="1" applyAlignment="1">
      <alignment horizontal="center" vertical="center"/>
    </xf>
    <xf numFmtId="7" fontId="7" fillId="0" borderId="0" xfId="2" applyNumberFormat="1" applyFont="1" applyFill="1" applyAlignment="1">
      <alignment horizontal="center" vertical="center"/>
    </xf>
    <xf numFmtId="0" fontId="17" fillId="0" borderId="0" xfId="0" applyFont="1" applyFill="1"/>
    <xf numFmtId="0" fontId="15" fillId="0" borderId="0" xfId="0" applyFont="1" applyFill="1"/>
    <xf numFmtId="5" fontId="13" fillId="0" borderId="0" xfId="2" applyNumberFormat="1" applyFont="1" applyFill="1" applyAlignment="1">
      <alignment horizontal="center" vertical="center"/>
    </xf>
    <xf numFmtId="9" fontId="13" fillId="0" borderId="0" xfId="3" applyFont="1" applyFill="1"/>
    <xf numFmtId="0" fontId="17" fillId="0" borderId="0" xfId="0" applyFont="1"/>
    <xf numFmtId="5" fontId="7" fillId="0" borderId="0" xfId="2" applyNumberFormat="1" applyFont="1" applyAlignment="1">
      <alignment horizontal="center" vertical="center"/>
    </xf>
    <xf numFmtId="0" fontId="15" fillId="10" borderId="0" xfId="0" applyFont="1" applyFill="1"/>
    <xf numFmtId="5" fontId="5" fillId="10" borderId="0" xfId="0" applyNumberFormat="1" applyFont="1" applyFill="1" applyAlignment="1">
      <alignment horizontal="center"/>
    </xf>
    <xf numFmtId="9" fontId="5" fillId="10" borderId="0" xfId="3" applyFont="1" applyFill="1"/>
    <xf numFmtId="0" fontId="2" fillId="10" borderId="0" xfId="0" applyFont="1" applyFill="1"/>
    <xf numFmtId="5" fontId="5" fillId="0" borderId="0" xfId="0" applyNumberFormat="1" applyFont="1" applyFill="1" applyAlignment="1">
      <alignment horizontal="center"/>
    </xf>
    <xf numFmtId="7" fontId="2" fillId="0" borderId="0" xfId="0" applyNumberFormat="1" applyFont="1"/>
    <xf numFmtId="0" fontId="2" fillId="16" borderId="12" xfId="0" applyFont="1" applyFill="1" applyBorder="1"/>
    <xf numFmtId="0" fontId="5" fillId="16" borderId="1" xfId="0" applyFont="1" applyFill="1" applyBorder="1" applyAlignment="1">
      <alignment horizontal="right" vertical="center"/>
    </xf>
    <xf numFmtId="9" fontId="5" fillId="16" borderId="3" xfId="3" applyFont="1" applyFill="1" applyBorder="1" applyAlignment="1">
      <alignment horizontal="center"/>
    </xf>
    <xf numFmtId="0" fontId="5" fillId="16" borderId="4" xfId="0" applyFont="1" applyFill="1" applyBorder="1" applyAlignment="1">
      <alignment horizontal="right" vertical="center"/>
    </xf>
    <xf numFmtId="9" fontId="5" fillId="16" borderId="5" xfId="3" applyFont="1" applyFill="1" applyBorder="1" applyAlignment="1">
      <alignment horizontal="center"/>
    </xf>
    <xf numFmtId="5" fontId="5" fillId="16" borderId="5" xfId="0" applyNumberFormat="1" applyFont="1" applyFill="1" applyBorder="1" applyAlignment="1">
      <alignment horizontal="center" vertical="center"/>
    </xf>
    <xf numFmtId="0" fontId="5" fillId="16" borderId="6" xfId="0" applyFont="1" applyFill="1" applyBorder="1" applyAlignment="1">
      <alignment horizontal="right"/>
    </xf>
    <xf numFmtId="173" fontId="5" fillId="16" borderId="8" xfId="1" applyNumberFormat="1" applyFont="1" applyFill="1" applyBorder="1" applyAlignment="1">
      <alignment horizontal="center"/>
    </xf>
    <xf numFmtId="0" fontId="18" fillId="0" borderId="0" xfId="0" applyFont="1"/>
    <xf numFmtId="0" fontId="14" fillId="0" borderId="0" xfId="0" applyFont="1" applyAlignment="1">
      <alignment horizontal="right"/>
    </xf>
    <xf numFmtId="0" fontId="14" fillId="0" borderId="0" xfId="0" applyFont="1" applyAlignment="1">
      <alignment horizontal="left"/>
    </xf>
    <xf numFmtId="0" fontId="18" fillId="0" borderId="0" xfId="0" applyFont="1" applyAlignment="1">
      <alignment wrapText="1"/>
    </xf>
    <xf numFmtId="0" fontId="2" fillId="0" borderId="0" xfId="0" applyFont="1" applyAlignment="1">
      <alignment wrapText="1"/>
    </xf>
    <xf numFmtId="0" fontId="18" fillId="0" borderId="0" xfId="0" applyFont="1" applyFill="1" applyAlignment="1">
      <alignment wrapText="1"/>
    </xf>
    <xf numFmtId="0" fontId="2" fillId="0" borderId="0" xfId="0" applyFont="1" applyFill="1" applyAlignment="1">
      <alignment wrapText="1"/>
    </xf>
    <xf numFmtId="170" fontId="18" fillId="0" borderId="0" xfId="2" applyNumberFormat="1" applyFont="1" applyFill="1" applyAlignment="1"/>
    <xf numFmtId="0" fontId="18" fillId="0" borderId="0" xfId="0" applyFont="1" applyFill="1"/>
    <xf numFmtId="0" fontId="18" fillId="10" borderId="0" xfId="0" applyFont="1" applyFill="1"/>
    <xf numFmtId="0" fontId="15" fillId="9" borderId="0" xfId="0" applyFont="1" applyFill="1"/>
    <xf numFmtId="5" fontId="7" fillId="9" borderId="0" xfId="2" applyNumberFormat="1" applyFont="1" applyFill="1" applyAlignment="1">
      <alignment horizontal="center" vertical="center"/>
    </xf>
    <xf numFmtId="0" fontId="7" fillId="9" borderId="0" xfId="0" applyFont="1" applyFill="1"/>
    <xf numFmtId="0" fontId="2" fillId="9" borderId="0" xfId="0" applyFont="1" applyFill="1"/>
    <xf numFmtId="0" fontId="18" fillId="9" borderId="0" xfId="0" applyFont="1" applyFill="1" applyAlignment="1"/>
    <xf numFmtId="0" fontId="17" fillId="9" borderId="0" xfId="0" applyFont="1" applyFill="1"/>
    <xf numFmtId="9" fontId="13" fillId="9" borderId="0" xfId="3" applyFont="1" applyFill="1"/>
    <xf numFmtId="0" fontId="7" fillId="9" borderId="0" xfId="0" applyFont="1" applyFill="1" applyAlignment="1"/>
    <xf numFmtId="5" fontId="13" fillId="9" borderId="0" xfId="2" applyNumberFormat="1" applyFont="1" applyFill="1" applyAlignment="1">
      <alignment horizontal="center" vertical="center"/>
    </xf>
    <xf numFmtId="7" fontId="2" fillId="9" borderId="0" xfId="0" applyNumberFormat="1" applyFont="1" applyFill="1"/>
    <xf numFmtId="7" fontId="7" fillId="9" borderId="0" xfId="0" applyNumberFormat="1" applyFont="1" applyFill="1"/>
    <xf numFmtId="5" fontId="7" fillId="9" borderId="0" xfId="0" applyNumberFormat="1" applyFont="1" applyFill="1" applyAlignment="1">
      <alignment horizontal="center"/>
    </xf>
    <xf numFmtId="0" fontId="2" fillId="17" borderId="12" xfId="0" applyFont="1" applyFill="1" applyBorder="1" applyAlignment="1">
      <alignment wrapText="1"/>
    </xf>
    <xf numFmtId="5" fontId="2" fillId="14" borderId="9" xfId="0" applyNumberFormat="1" applyFont="1" applyFill="1" applyBorder="1" applyAlignment="1">
      <alignment horizontal="center" vertical="center"/>
    </xf>
    <xf numFmtId="5" fontId="0" fillId="0" borderId="0" xfId="0" applyNumberFormat="1" applyFont="1" applyFill="1" applyBorder="1" applyAlignment="1">
      <alignment horizontal="center" vertical="center"/>
    </xf>
    <xf numFmtId="0" fontId="5" fillId="16" borderId="14" xfId="0" applyFont="1" applyFill="1" applyBorder="1" applyAlignment="1">
      <alignment horizontal="center"/>
    </xf>
    <xf numFmtId="0" fontId="2" fillId="16" borderId="14" xfId="0" applyFont="1" applyFill="1" applyBorder="1"/>
    <xf numFmtId="0" fontId="5" fillId="16" borderId="4" xfId="0" applyFont="1" applyFill="1" applyBorder="1" applyAlignment="1">
      <alignment horizontal="right"/>
    </xf>
    <xf numFmtId="173" fontId="5" fillId="16" borderId="5" xfId="1" applyNumberFormat="1" applyFont="1" applyFill="1" applyBorder="1" applyAlignment="1">
      <alignment horizontal="center"/>
    </xf>
    <xf numFmtId="0" fontId="3" fillId="0" borderId="0" xfId="0" applyFont="1" applyFill="1"/>
    <xf numFmtId="0" fontId="5" fillId="0" borderId="0" xfId="0" applyFont="1"/>
    <xf numFmtId="0" fontId="4" fillId="0" borderId="0" xfId="0" applyFont="1" applyFill="1"/>
    <xf numFmtId="0" fontId="2" fillId="0" borderId="0" xfId="0" applyFont="1" applyFill="1" applyAlignment="1">
      <alignment horizontal="right"/>
    </xf>
    <xf numFmtId="10" fontId="2" fillId="0" borderId="0" xfId="0" applyNumberFormat="1" applyFont="1" applyFill="1"/>
    <xf numFmtId="0" fontId="2" fillId="16" borderId="0" xfId="0" applyFont="1" applyFill="1" applyAlignment="1">
      <alignment horizontal="right"/>
    </xf>
    <xf numFmtId="10" fontId="2" fillId="16" borderId="0" xfId="0" applyNumberFormat="1" applyFont="1" applyFill="1"/>
    <xf numFmtId="0" fontId="5" fillId="0" borderId="0" xfId="0" applyFont="1" applyFill="1" applyBorder="1" applyAlignment="1"/>
    <xf numFmtId="0" fontId="15" fillId="10" borderId="12" xfId="5" applyFont="1" applyFill="1" applyBorder="1"/>
    <xf numFmtId="0" fontId="15" fillId="10" borderId="12" xfId="5" applyFont="1" applyFill="1" applyBorder="1" applyAlignment="1">
      <alignment horizontal="center" wrapText="1"/>
    </xf>
    <xf numFmtId="0" fontId="15" fillId="10" borderId="9" xfId="5" applyFont="1" applyFill="1" applyBorder="1" applyAlignment="1">
      <alignment horizontal="center" wrapText="1"/>
    </xf>
    <xf numFmtId="0" fontId="15" fillId="10" borderId="16" xfId="5" applyFont="1" applyFill="1" applyBorder="1" applyAlignment="1">
      <alignment horizontal="center" wrapText="1"/>
    </xf>
    <xf numFmtId="0" fontId="15" fillId="10" borderId="11" xfId="5" applyFont="1" applyFill="1" applyBorder="1" applyAlignment="1">
      <alignment horizontal="center" wrapText="1"/>
    </xf>
    <xf numFmtId="0" fontId="15" fillId="10" borderId="17" xfId="5" applyFont="1" applyFill="1" applyBorder="1" applyAlignment="1">
      <alignment horizontal="center" wrapText="1"/>
    </xf>
    <xf numFmtId="0" fontId="15" fillId="10" borderId="12" xfId="5" applyFont="1" applyFill="1" applyBorder="1" applyAlignment="1">
      <alignment wrapText="1"/>
    </xf>
    <xf numFmtId="0" fontId="17" fillId="9" borderId="9" xfId="5" applyFont="1" applyFill="1" applyBorder="1" applyAlignment="1">
      <alignment vertical="center" wrapText="1"/>
    </xf>
    <xf numFmtId="5" fontId="2" fillId="9" borderId="12" xfId="0" applyNumberFormat="1" applyFont="1" applyFill="1" applyBorder="1" applyAlignment="1">
      <alignment horizontal="center" vertical="center"/>
    </xf>
    <xf numFmtId="5" fontId="2" fillId="9" borderId="16" xfId="0" applyNumberFormat="1" applyFont="1" applyFill="1" applyBorder="1" applyAlignment="1">
      <alignment horizontal="center" vertical="center"/>
    </xf>
    <xf numFmtId="5" fontId="2" fillId="9" borderId="11" xfId="0" applyNumberFormat="1" applyFont="1" applyFill="1" applyBorder="1" applyAlignment="1">
      <alignment horizontal="center" vertical="center"/>
    </xf>
    <xf numFmtId="0" fontId="17" fillId="0" borderId="9" xfId="5" applyFont="1" applyFill="1" applyBorder="1" applyAlignment="1">
      <alignment vertical="center" wrapText="1"/>
    </xf>
    <xf numFmtId="5" fontId="2" fillId="0" borderId="12" xfId="0" applyNumberFormat="1" applyFont="1" applyFill="1" applyBorder="1" applyAlignment="1">
      <alignment horizontal="center" vertical="center"/>
    </xf>
    <xf numFmtId="5" fontId="0" fillId="6" borderId="9" xfId="0" applyNumberFormat="1" applyFont="1" applyFill="1" applyBorder="1" applyAlignment="1">
      <alignment vertical="center" wrapText="1"/>
    </xf>
    <xf numFmtId="0" fontId="17" fillId="18" borderId="9" xfId="5" applyFont="1" applyFill="1" applyBorder="1" applyAlignment="1">
      <alignment vertical="center" wrapText="1"/>
    </xf>
    <xf numFmtId="5" fontId="2" fillId="18" borderId="12" xfId="0" applyNumberFormat="1" applyFont="1" applyFill="1" applyBorder="1" applyAlignment="1">
      <alignment horizontal="center" vertical="center"/>
    </xf>
    <xf numFmtId="5" fontId="2" fillId="18" borderId="16" xfId="0" applyNumberFormat="1" applyFont="1" applyFill="1" applyBorder="1" applyAlignment="1">
      <alignment horizontal="center" vertical="center"/>
    </xf>
    <xf numFmtId="5" fontId="2" fillId="18" borderId="11" xfId="0" applyNumberFormat="1" applyFont="1" applyFill="1" applyBorder="1" applyAlignment="1">
      <alignment horizontal="center" vertical="center"/>
    </xf>
    <xf numFmtId="0" fontId="17" fillId="19" borderId="9" xfId="5" applyFont="1" applyFill="1" applyBorder="1" applyAlignment="1">
      <alignment vertical="center" wrapText="1"/>
    </xf>
    <xf numFmtId="5" fontId="2" fillId="19" borderId="12" xfId="0" applyNumberFormat="1" applyFont="1" applyFill="1" applyBorder="1" applyAlignment="1">
      <alignment horizontal="center" vertical="center"/>
    </xf>
    <xf numFmtId="5" fontId="2" fillId="19" borderId="9" xfId="0" applyNumberFormat="1" applyFont="1" applyFill="1" applyBorder="1" applyAlignment="1">
      <alignment vertical="center"/>
    </xf>
    <xf numFmtId="0" fontId="15" fillId="10" borderId="12" xfId="5" applyFont="1" applyFill="1" applyBorder="1" applyAlignment="1">
      <alignment vertical="center" wrapText="1"/>
    </xf>
    <xf numFmtId="5" fontId="5" fillId="10" borderId="12" xfId="0" applyNumberFormat="1" applyFont="1" applyFill="1" applyBorder="1" applyAlignment="1">
      <alignment horizontal="center" vertical="center"/>
    </xf>
    <xf numFmtId="5" fontId="5" fillId="10" borderId="16" xfId="0" applyNumberFormat="1" applyFont="1" applyFill="1" applyBorder="1" applyAlignment="1">
      <alignment horizontal="center" vertical="center"/>
    </xf>
    <xf numFmtId="5" fontId="5" fillId="10" borderId="11" xfId="0" applyNumberFormat="1" applyFont="1" applyFill="1" applyBorder="1" applyAlignment="1">
      <alignment horizontal="center" vertical="center"/>
    </xf>
    <xf numFmtId="5" fontId="5" fillId="8" borderId="12" xfId="0" applyNumberFormat="1" applyFont="1" applyFill="1" applyBorder="1" applyAlignment="1">
      <alignment horizontal="center" vertical="center"/>
    </xf>
    <xf numFmtId="5" fontId="5" fillId="8" borderId="16" xfId="0" applyNumberFormat="1" applyFont="1" applyFill="1" applyBorder="1" applyAlignment="1">
      <alignment horizontal="center" vertical="center"/>
    </xf>
    <xf numFmtId="5" fontId="5" fillId="8" borderId="11" xfId="0" applyNumberFormat="1" applyFont="1" applyFill="1" applyBorder="1" applyAlignment="1">
      <alignment horizontal="center" vertical="center"/>
    </xf>
    <xf numFmtId="5" fontId="5" fillId="0" borderId="12" xfId="0" applyNumberFormat="1" applyFont="1" applyBorder="1" applyAlignment="1">
      <alignment horizontal="center" vertical="center"/>
    </xf>
    <xf numFmtId="5" fontId="5" fillId="0" borderId="16" xfId="0" applyNumberFormat="1" applyFont="1" applyBorder="1" applyAlignment="1">
      <alignment horizontal="center" vertical="center"/>
    </xf>
    <xf numFmtId="5" fontId="5" fillId="0" borderId="11" xfId="0" applyNumberFormat="1" applyFont="1" applyBorder="1" applyAlignment="1">
      <alignment horizontal="center" vertical="center"/>
    </xf>
    <xf numFmtId="0" fontId="17" fillId="0" borderId="12" xfId="5" applyFont="1" applyFill="1" applyBorder="1" applyAlignment="1">
      <alignment vertical="center" wrapText="1"/>
    </xf>
    <xf numFmtId="0" fontId="2" fillId="0" borderId="12" xfId="0" applyFont="1" applyBorder="1"/>
    <xf numFmtId="173" fontId="2" fillId="0" borderId="12" xfId="0" applyNumberFormat="1" applyFont="1" applyBorder="1" applyAlignment="1">
      <alignment horizontal="center" vertical="center"/>
    </xf>
    <xf numFmtId="173" fontId="2" fillId="0" borderId="9" xfId="0" applyNumberFormat="1" applyFont="1" applyBorder="1" applyAlignment="1">
      <alignment horizontal="center" vertical="center"/>
    </xf>
    <xf numFmtId="0" fontId="2" fillId="0" borderId="16" xfId="0" applyFont="1" applyBorder="1"/>
    <xf numFmtId="173" fontId="2" fillId="0" borderId="11" xfId="0" applyNumberFormat="1" applyFont="1" applyBorder="1" applyAlignment="1">
      <alignment horizontal="center" vertical="center"/>
    </xf>
    <xf numFmtId="173" fontId="2" fillId="0" borderId="12" xfId="0" applyNumberFormat="1" applyFont="1" applyFill="1" applyBorder="1" applyAlignment="1">
      <alignment horizontal="center" vertical="center"/>
    </xf>
    <xf numFmtId="173" fontId="2" fillId="0" borderId="9" xfId="0" applyNumberFormat="1" applyFont="1" applyFill="1" applyBorder="1" applyAlignment="1">
      <alignment horizontal="center" vertical="center"/>
    </xf>
    <xf numFmtId="5" fontId="2" fillId="0" borderId="16" xfId="0" applyNumberFormat="1" applyFont="1" applyFill="1" applyBorder="1"/>
    <xf numFmtId="5" fontId="2" fillId="0" borderId="16" xfId="0" applyNumberFormat="1" applyFont="1" applyBorder="1"/>
    <xf numFmtId="0" fontId="2" fillId="0" borderId="0" xfId="0" applyFont="1" applyAlignment="1">
      <alignment horizontal="center" vertical="center"/>
    </xf>
    <xf numFmtId="5" fontId="2" fillId="0" borderId="0" xfId="0" applyNumberFormat="1" applyFont="1" applyFill="1" applyAlignment="1">
      <alignment vertical="top"/>
    </xf>
    <xf numFmtId="170" fontId="2" fillId="0" borderId="0" xfId="2" applyNumberFormat="1" applyFont="1" applyFill="1"/>
    <xf numFmtId="170" fontId="2" fillId="0" borderId="0" xfId="2" applyNumberFormat="1" applyFont="1"/>
    <xf numFmtId="5" fontId="2" fillId="0" borderId="0" xfId="0" applyNumberFormat="1" applyFont="1" applyAlignment="1">
      <alignment vertical="top"/>
    </xf>
    <xf numFmtId="170" fontId="2" fillId="0" borderId="0" xfId="0" applyNumberFormat="1" applyFont="1" applyFill="1" applyAlignment="1">
      <alignment vertical="top"/>
    </xf>
    <xf numFmtId="0" fontId="2" fillId="0" borderId="12" xfId="0" applyFont="1" applyBorder="1" applyAlignment="1">
      <alignment horizontal="right"/>
    </xf>
    <xf numFmtId="5" fontId="2" fillId="0" borderId="12" xfId="0" applyNumberFormat="1" applyFont="1" applyBorder="1" applyAlignment="1">
      <alignment horizontal="center"/>
    </xf>
    <xf numFmtId="0" fontId="2" fillId="0" borderId="12" xfId="0" applyFont="1" applyFill="1" applyBorder="1" applyAlignment="1">
      <alignment horizontal="right"/>
    </xf>
    <xf numFmtId="170" fontId="19" fillId="0" borderId="0" xfId="2" applyNumberFormat="1" applyFont="1"/>
    <xf numFmtId="0" fontId="5" fillId="10" borderId="12" xfId="0" applyFont="1" applyFill="1" applyBorder="1" applyAlignment="1">
      <alignment horizontal="right"/>
    </xf>
    <xf numFmtId="0" fontId="7" fillId="9" borderId="12" xfId="0" applyFont="1" applyFill="1" applyBorder="1" applyAlignment="1">
      <alignment horizontal="right"/>
    </xf>
    <xf numFmtId="5" fontId="2" fillId="9" borderId="12" xfId="0" applyNumberFormat="1" applyFont="1" applyFill="1" applyBorder="1" applyAlignment="1">
      <alignment horizontal="center"/>
    </xf>
    <xf numFmtId="0" fontId="7" fillId="18" borderId="12" xfId="0" applyFont="1" applyFill="1" applyBorder="1" applyAlignment="1">
      <alignment horizontal="right"/>
    </xf>
    <xf numFmtId="5" fontId="2" fillId="18" borderId="12" xfId="0" applyNumberFormat="1" applyFont="1" applyFill="1" applyBorder="1" applyAlignment="1">
      <alignment horizontal="center"/>
    </xf>
    <xf numFmtId="0" fontId="5" fillId="0" borderId="12" xfId="0" applyFont="1" applyBorder="1" applyAlignment="1">
      <alignment horizontal="right"/>
    </xf>
    <xf numFmtId="5" fontId="5" fillId="0" borderId="12" xfId="0" applyNumberFormat="1" applyFont="1" applyBorder="1"/>
    <xf numFmtId="0" fontId="7" fillId="0" borderId="12" xfId="0" applyFont="1" applyFill="1" applyBorder="1" applyAlignment="1">
      <alignment horizontal="right"/>
    </xf>
    <xf numFmtId="5" fontId="2" fillId="20" borderId="12" xfId="0" applyNumberFormat="1" applyFont="1" applyFill="1" applyBorder="1" applyAlignment="1">
      <alignment horizontal="right"/>
    </xf>
    <xf numFmtId="5" fontId="2" fillId="0" borderId="12" xfId="0" applyNumberFormat="1" applyFont="1" applyFill="1" applyBorder="1"/>
    <xf numFmtId="0" fontId="13" fillId="0" borderId="12" xfId="0" applyFont="1" applyFill="1" applyBorder="1" applyAlignment="1">
      <alignment horizontal="right"/>
    </xf>
    <xf numFmtId="5" fontId="5" fillId="0" borderId="12" xfId="0" applyNumberFormat="1" applyFont="1" applyFill="1" applyBorder="1"/>
    <xf numFmtId="0" fontId="13" fillId="0" borderId="0" xfId="0" applyFont="1" applyFill="1" applyBorder="1" applyAlignment="1">
      <alignment horizontal="right"/>
    </xf>
    <xf numFmtId="5" fontId="5" fillId="0" borderId="0" xfId="0" applyNumberFormat="1" applyFont="1" applyBorder="1"/>
    <xf numFmtId="0" fontId="15" fillId="18" borderId="0" xfId="0" applyFont="1" applyFill="1"/>
    <xf numFmtId="5" fontId="7" fillId="18" borderId="0" xfId="2" applyNumberFormat="1" applyFont="1" applyFill="1" applyAlignment="1">
      <alignment horizontal="center" vertical="center"/>
    </xf>
    <xf numFmtId="0" fontId="7" fillId="18" borderId="0" xfId="0" applyFont="1" applyFill="1"/>
    <xf numFmtId="0" fontId="2" fillId="18" borderId="0" xfId="0" applyFont="1" applyFill="1"/>
    <xf numFmtId="0" fontId="17" fillId="18" borderId="0" xfId="0" applyFont="1" applyFill="1"/>
    <xf numFmtId="5" fontId="7" fillId="18" borderId="0" xfId="0" applyNumberFormat="1" applyFont="1" applyFill="1" applyAlignment="1">
      <alignment horizontal="center"/>
    </xf>
    <xf numFmtId="0" fontId="7" fillId="18" borderId="0" xfId="0" applyFont="1" applyFill="1" applyAlignment="1">
      <alignment wrapText="1"/>
    </xf>
    <xf numFmtId="170" fontId="7" fillId="18" borderId="0" xfId="2" applyNumberFormat="1" applyFont="1" applyFill="1" applyAlignment="1">
      <alignment wrapText="1"/>
    </xf>
    <xf numFmtId="170" fontId="2" fillId="18" borderId="0" xfId="2" applyNumberFormat="1" applyFont="1" applyFill="1" applyAlignment="1">
      <alignment wrapText="1"/>
    </xf>
    <xf numFmtId="5" fontId="13" fillId="18" borderId="0" xfId="2" applyNumberFormat="1" applyFont="1" applyFill="1" applyAlignment="1">
      <alignment horizontal="center" vertical="center"/>
    </xf>
    <xf numFmtId="9" fontId="13" fillId="18" borderId="0" xfId="3" applyFont="1" applyFill="1"/>
    <xf numFmtId="5" fontId="2" fillId="18" borderId="0" xfId="0" applyNumberFormat="1" applyFont="1" applyFill="1"/>
    <xf numFmtId="0" fontId="15" fillId="21" borderId="0" xfId="0" applyFont="1" applyFill="1"/>
    <xf numFmtId="5" fontId="7" fillId="21" borderId="0" xfId="2" applyNumberFormat="1" applyFont="1" applyFill="1" applyAlignment="1">
      <alignment horizontal="center" vertical="center"/>
    </xf>
    <xf numFmtId="5" fontId="13" fillId="21" borderId="0" xfId="2" applyNumberFormat="1" applyFont="1" applyFill="1" applyAlignment="1">
      <alignment horizontal="center" vertical="center"/>
    </xf>
    <xf numFmtId="0" fontId="7" fillId="21" borderId="0" xfId="0" applyFont="1" applyFill="1"/>
    <xf numFmtId="0" fontId="2" fillId="21" borderId="0" xfId="0" applyFont="1" applyFill="1"/>
    <xf numFmtId="0" fontId="17" fillId="21" borderId="0" xfId="0" applyFont="1" applyFill="1"/>
    <xf numFmtId="9" fontId="13" fillId="21" borderId="0" xfId="3" applyNumberFormat="1" applyFont="1" applyFill="1"/>
    <xf numFmtId="7" fontId="7" fillId="21" borderId="0" xfId="0" applyNumberFormat="1" applyFont="1" applyFill="1"/>
    <xf numFmtId="0" fontId="13" fillId="21" borderId="0" xfId="0" applyFont="1" applyFill="1" applyAlignment="1"/>
    <xf numFmtId="9" fontId="7" fillId="21" borderId="0" xfId="3" applyFont="1" applyFill="1"/>
    <xf numFmtId="5" fontId="7" fillId="21" borderId="0" xfId="0" applyNumberFormat="1" applyFont="1" applyFill="1"/>
    <xf numFmtId="7" fontId="2" fillId="21" borderId="0" xfId="0" applyNumberFormat="1" applyFont="1" applyFill="1"/>
    <xf numFmtId="9" fontId="7" fillId="21" borderId="0" xfId="0" applyNumberFormat="1" applyFont="1" applyFill="1"/>
    <xf numFmtId="0" fontId="17" fillId="15" borderId="9" xfId="5" applyFont="1" applyFill="1" applyBorder="1" applyAlignment="1">
      <alignment vertical="center" wrapText="1"/>
    </xf>
    <xf numFmtId="5" fontId="2" fillId="15" borderId="12" xfId="0" applyNumberFormat="1" applyFont="1" applyFill="1" applyBorder="1" applyAlignment="1">
      <alignment horizontal="center" vertical="center"/>
    </xf>
    <xf numFmtId="5" fontId="2" fillId="15" borderId="16" xfId="0" applyNumberFormat="1" applyFont="1" applyFill="1" applyBorder="1" applyAlignment="1">
      <alignment horizontal="center" vertical="center"/>
    </xf>
    <xf numFmtId="5" fontId="2" fillId="15" borderId="11" xfId="0" applyNumberFormat="1" applyFont="1" applyFill="1" applyBorder="1" applyAlignment="1">
      <alignment horizontal="center" vertical="center"/>
    </xf>
    <xf numFmtId="0" fontId="17" fillId="21" borderId="9" xfId="5" applyFont="1" applyFill="1" applyBorder="1" applyAlignment="1">
      <alignment vertical="center" wrapText="1"/>
    </xf>
    <xf numFmtId="5" fontId="2" fillId="21" borderId="12" xfId="0" applyNumberFormat="1" applyFont="1" applyFill="1" applyBorder="1" applyAlignment="1">
      <alignment horizontal="center" vertical="center"/>
    </xf>
    <xf numFmtId="5" fontId="2" fillId="21" borderId="16" xfId="0" applyNumberFormat="1" applyFont="1" applyFill="1" applyBorder="1" applyAlignment="1">
      <alignment horizontal="center" vertical="center"/>
    </xf>
    <xf numFmtId="5" fontId="2" fillId="21" borderId="11" xfId="0" applyNumberFormat="1" applyFont="1" applyFill="1" applyBorder="1" applyAlignment="1">
      <alignment horizontal="center" vertical="center"/>
    </xf>
    <xf numFmtId="0" fontId="0" fillId="0" borderId="0" xfId="0" applyFill="1"/>
    <xf numFmtId="0" fontId="0" fillId="0" borderId="0" xfId="0" applyFont="1"/>
    <xf numFmtId="0" fontId="15" fillId="10" borderId="12" xfId="5" applyFont="1" applyFill="1" applyBorder="1" applyAlignment="1">
      <alignment horizontal="center" vertical="center" wrapText="1"/>
    </xf>
    <xf numFmtId="5" fontId="2" fillId="9" borderId="17" xfId="0" applyNumberFormat="1" applyFont="1" applyFill="1" applyBorder="1" applyAlignment="1">
      <alignment horizontal="center" vertical="center"/>
    </xf>
    <xf numFmtId="9" fontId="2" fillId="9" borderId="12" xfId="3" applyNumberFormat="1" applyFont="1" applyFill="1" applyBorder="1" applyAlignment="1">
      <alignment horizontal="center" vertical="center" wrapText="1"/>
    </xf>
    <xf numFmtId="5" fontId="2" fillId="0" borderId="0" xfId="3" applyNumberFormat="1" applyFont="1"/>
    <xf numFmtId="5" fontId="2" fillId="9" borderId="9" xfId="0" applyNumberFormat="1" applyFont="1" applyFill="1" applyBorder="1" applyAlignment="1">
      <alignment horizontal="center" vertical="center"/>
    </xf>
    <xf numFmtId="9" fontId="2" fillId="9" borderId="12" xfId="3" applyFont="1" applyFill="1" applyBorder="1" applyAlignment="1">
      <alignment horizontal="center" vertical="center" wrapText="1"/>
    </xf>
    <xf numFmtId="5" fontId="2" fillId="0" borderId="12" xfId="0" applyNumberFormat="1" applyFont="1" applyBorder="1" applyAlignment="1">
      <alignment horizontal="center" vertical="center"/>
    </xf>
    <xf numFmtId="0" fontId="15" fillId="0" borderId="12" xfId="5" applyFont="1" applyBorder="1" applyAlignment="1">
      <alignment horizontal="center" vertical="center" wrapText="1"/>
    </xf>
    <xf numFmtId="5" fontId="2" fillId="18" borderId="9" xfId="0" applyNumberFormat="1" applyFont="1" applyFill="1" applyBorder="1" applyAlignment="1">
      <alignment horizontal="center" vertical="center"/>
    </xf>
    <xf numFmtId="5" fontId="2" fillId="18" borderId="17" xfId="0" applyNumberFormat="1" applyFont="1" applyFill="1" applyBorder="1" applyAlignment="1">
      <alignment horizontal="center" vertical="center"/>
    </xf>
    <xf numFmtId="9" fontId="2" fillId="18" borderId="12" xfId="3" applyNumberFormat="1" applyFont="1" applyFill="1" applyBorder="1" applyAlignment="1">
      <alignment horizontal="center" vertical="center" wrapText="1"/>
    </xf>
    <xf numFmtId="9" fontId="2" fillId="18" borderId="12" xfId="3" applyFont="1" applyFill="1" applyBorder="1" applyAlignment="1">
      <alignment horizontal="center" vertical="center" wrapText="1"/>
    </xf>
    <xf numFmtId="0" fontId="17" fillId="18" borderId="9" xfId="5" applyFont="1" applyFill="1" applyBorder="1" applyAlignment="1">
      <alignment horizontal="center" vertical="center" wrapText="1"/>
    </xf>
    <xf numFmtId="9" fontId="2" fillId="18" borderId="16" xfId="3" applyFont="1" applyFill="1" applyBorder="1" applyAlignment="1">
      <alignment horizontal="center" vertical="center"/>
    </xf>
    <xf numFmtId="0" fontId="15" fillId="0" borderId="12" xfId="5" applyFont="1" applyBorder="1" applyAlignment="1">
      <alignment vertical="center" wrapText="1"/>
    </xf>
    <xf numFmtId="5" fontId="5" fillId="0" borderId="9" xfId="0" applyNumberFormat="1" applyFont="1" applyBorder="1" applyAlignment="1">
      <alignment horizontal="center" vertical="center"/>
    </xf>
    <xf numFmtId="5" fontId="5" fillId="0" borderId="17" xfId="0" applyNumberFormat="1" applyFont="1" applyBorder="1" applyAlignment="1">
      <alignment horizontal="center" vertical="center"/>
    </xf>
    <xf numFmtId="9" fontId="5" fillId="0" borderId="12" xfId="3" applyFont="1" applyBorder="1" applyAlignment="1">
      <alignment horizontal="center" vertical="center" wrapText="1"/>
    </xf>
    <xf numFmtId="0" fontId="15" fillId="0" borderId="9" xfId="5" applyFont="1" applyBorder="1" applyAlignment="1">
      <alignment horizontal="center" vertical="center" wrapText="1"/>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9" fontId="5" fillId="0" borderId="24" xfId="3" applyFont="1" applyBorder="1" applyAlignment="1">
      <alignment horizontal="center" vertical="center" wrapText="1"/>
    </xf>
    <xf numFmtId="5" fontId="0" fillId="0" borderId="0" xfId="0" applyNumberFormat="1"/>
    <xf numFmtId="5" fontId="20" fillId="0" borderId="0" xfId="0" applyNumberFormat="1" applyFont="1" applyBorder="1" applyAlignment="1">
      <alignment horizontal="center" vertical="center"/>
    </xf>
    <xf numFmtId="165" fontId="0" fillId="0" borderId="0" xfId="0" applyNumberFormat="1"/>
    <xf numFmtId="0" fontId="0" fillId="0" borderId="0" xfId="0" applyAlignment="1">
      <alignment horizontal="right"/>
    </xf>
    <xf numFmtId="5" fontId="2" fillId="9" borderId="12" xfId="0" applyNumberFormat="1" applyFont="1" applyFill="1" applyBorder="1"/>
    <xf numFmtId="5" fontId="2" fillId="18" borderId="12" xfId="0" applyNumberFormat="1" applyFont="1" applyFill="1" applyBorder="1"/>
    <xf numFmtId="0" fontId="7" fillId="15" borderId="12" xfId="0" applyFont="1" applyFill="1" applyBorder="1" applyAlignment="1">
      <alignment horizontal="right"/>
    </xf>
    <xf numFmtId="5" fontId="2" fillId="15" borderId="12" xfId="0" applyNumberFormat="1" applyFont="1" applyFill="1" applyBorder="1"/>
    <xf numFmtId="5" fontId="2" fillId="15" borderId="12" xfId="0" applyNumberFormat="1" applyFont="1" applyFill="1" applyBorder="1" applyAlignment="1">
      <alignment horizontal="center"/>
    </xf>
    <xf numFmtId="0" fontId="7" fillId="21" borderId="12" xfId="0" applyFont="1" applyFill="1" applyBorder="1" applyAlignment="1">
      <alignment horizontal="right"/>
    </xf>
    <xf numFmtId="5" fontId="2" fillId="21" borderId="12" xfId="0" applyNumberFormat="1" applyFont="1" applyFill="1" applyBorder="1"/>
    <xf numFmtId="5" fontId="2" fillId="21" borderId="12" xfId="0" applyNumberFormat="1" applyFont="1" applyFill="1" applyBorder="1" applyAlignment="1">
      <alignment horizontal="center"/>
    </xf>
    <xf numFmtId="0" fontId="2" fillId="16" borderId="12" xfId="0" applyFont="1" applyFill="1" applyBorder="1" applyAlignment="1">
      <alignment horizontal="right"/>
    </xf>
    <xf numFmtId="167" fontId="2" fillId="16" borderId="12" xfId="0" applyNumberFormat="1" applyFont="1" applyFill="1" applyBorder="1" applyAlignment="1">
      <alignment horizontal="center"/>
    </xf>
    <xf numFmtId="0" fontId="15" fillId="16" borderId="12" xfId="5" applyFont="1" applyFill="1" applyBorder="1" applyAlignment="1">
      <alignment horizontal="center" wrapText="1"/>
    </xf>
    <xf numFmtId="0" fontId="2" fillId="16" borderId="0" xfId="0" applyFont="1" applyFill="1"/>
    <xf numFmtId="0" fontId="5" fillId="16" borderId="12" xfId="0" applyFont="1" applyFill="1" applyBorder="1" applyAlignment="1">
      <alignment horizontal="right"/>
    </xf>
    <xf numFmtId="5" fontId="2" fillId="15" borderId="17" xfId="0" applyNumberFormat="1" applyFont="1" applyFill="1" applyBorder="1" applyAlignment="1">
      <alignment horizontal="center" vertical="center"/>
    </xf>
    <xf numFmtId="9" fontId="2" fillId="15" borderId="12" xfId="3" applyNumberFormat="1" applyFont="1" applyFill="1" applyBorder="1" applyAlignment="1">
      <alignment horizontal="center" vertical="center" wrapText="1"/>
    </xf>
    <xf numFmtId="5" fontId="2" fillId="15" borderId="9" xfId="0" applyNumberFormat="1" applyFont="1" applyFill="1" applyBorder="1" applyAlignment="1">
      <alignment horizontal="center" vertical="center"/>
    </xf>
    <xf numFmtId="9" fontId="2" fillId="15" borderId="12" xfId="3" applyFont="1" applyFill="1" applyBorder="1" applyAlignment="1">
      <alignment horizontal="center" vertical="center" wrapText="1"/>
    </xf>
    <xf numFmtId="5" fontId="2" fillId="21" borderId="9" xfId="0" applyNumberFormat="1" applyFont="1" applyFill="1" applyBorder="1" applyAlignment="1">
      <alignment horizontal="center" vertical="center"/>
    </xf>
    <xf numFmtId="5" fontId="2" fillId="21" borderId="17" xfId="0" applyNumberFormat="1" applyFont="1" applyFill="1" applyBorder="1" applyAlignment="1">
      <alignment horizontal="center" vertical="center"/>
    </xf>
    <xf numFmtId="9" fontId="2" fillId="21" borderId="12" xfId="3" applyNumberFormat="1" applyFont="1" applyFill="1" applyBorder="1" applyAlignment="1">
      <alignment horizontal="center" vertical="center" wrapText="1"/>
    </xf>
    <xf numFmtId="9" fontId="2" fillId="21" borderId="12" xfId="3" applyFont="1" applyFill="1" applyBorder="1" applyAlignment="1">
      <alignment horizontal="center" vertical="center" wrapText="1"/>
    </xf>
    <xf numFmtId="0" fontId="0" fillId="0" borderId="0" xfId="0" applyBorder="1"/>
    <xf numFmtId="0" fontId="17" fillId="15" borderId="9" xfId="5" applyFont="1" applyFill="1" applyBorder="1" applyAlignment="1">
      <alignment horizontal="center" vertical="center" wrapText="1"/>
    </xf>
    <xf numFmtId="9" fontId="2" fillId="15" borderId="16" xfId="3" applyFont="1" applyFill="1" applyBorder="1" applyAlignment="1">
      <alignment horizontal="center" vertical="center" wrapText="1"/>
    </xf>
    <xf numFmtId="0" fontId="17" fillId="9" borderId="9" xfId="5" applyFont="1" applyFill="1" applyBorder="1" applyAlignment="1">
      <alignment horizontal="center" vertical="center" wrapText="1"/>
    </xf>
    <xf numFmtId="9" fontId="2" fillId="9" borderId="16" xfId="3" applyFont="1" applyFill="1" applyBorder="1" applyAlignment="1">
      <alignment horizontal="center" vertical="center"/>
    </xf>
    <xf numFmtId="0" fontId="17" fillId="21" borderId="9" xfId="5" applyFont="1" applyFill="1" applyBorder="1" applyAlignment="1">
      <alignment horizontal="center" vertical="center" wrapText="1"/>
    </xf>
    <xf numFmtId="9" fontId="2" fillId="21" borderId="16" xfId="3" applyFont="1" applyFill="1" applyBorder="1" applyAlignment="1">
      <alignment horizontal="center" vertical="center"/>
    </xf>
    <xf numFmtId="0" fontId="2" fillId="2" borderId="12" xfId="0" applyFont="1" applyFill="1" applyBorder="1"/>
    <xf numFmtId="0" fontId="2" fillId="0" borderId="12" xfId="0" applyFont="1" applyBorder="1" applyAlignment="1">
      <alignment vertical="center"/>
    </xf>
    <xf numFmtId="0" fontId="2" fillId="0" borderId="12" xfId="0" applyFont="1" applyBorder="1" applyAlignment="1">
      <alignment wrapText="1"/>
    </xf>
    <xf numFmtId="0" fontId="2" fillId="0" borderId="12" xfId="0" applyFont="1" applyBorder="1" applyAlignment="1">
      <alignment vertical="center" wrapText="1"/>
    </xf>
    <xf numFmtId="0" fontId="2" fillId="0" borderId="0" xfId="0" applyFont="1" applyBorder="1" applyAlignment="1">
      <alignment vertical="center" wrapText="1"/>
    </xf>
    <xf numFmtId="9" fontId="2" fillId="0" borderId="12" xfId="3" applyFont="1" applyBorder="1" applyAlignment="1">
      <alignment horizontal="center"/>
    </xf>
    <xf numFmtId="9" fontId="2" fillId="15" borderId="12" xfId="3" applyFont="1" applyFill="1" applyBorder="1" applyAlignment="1">
      <alignment horizontal="center"/>
    </xf>
    <xf numFmtId="9" fontId="2" fillId="9" borderId="12" xfId="3" applyFont="1" applyFill="1" applyBorder="1" applyAlignment="1">
      <alignment horizontal="center"/>
    </xf>
    <xf numFmtId="9" fontId="2" fillId="18" borderId="12" xfId="3" applyFont="1" applyFill="1" applyBorder="1" applyAlignment="1">
      <alignment horizontal="center"/>
    </xf>
    <xf numFmtId="9" fontId="2" fillId="21" borderId="12" xfId="3" applyFont="1" applyFill="1" applyBorder="1" applyAlignment="1">
      <alignment horizontal="center"/>
    </xf>
    <xf numFmtId="5" fontId="5" fillId="22" borderId="27" xfId="0" applyNumberFormat="1" applyFont="1" applyFill="1" applyBorder="1" applyAlignment="1">
      <alignment wrapText="1"/>
    </xf>
    <xf numFmtId="5" fontId="5" fillId="22" borderId="28" xfId="0" applyNumberFormat="1" applyFont="1" applyFill="1" applyBorder="1" applyAlignment="1">
      <alignment wrapText="1"/>
    </xf>
    <xf numFmtId="0" fontId="5" fillId="22" borderId="33" xfId="0" applyFont="1" applyFill="1" applyBorder="1" applyAlignment="1">
      <alignment vertical="center" wrapText="1"/>
    </xf>
    <xf numFmtId="0" fontId="5" fillId="3" borderId="28" xfId="0" applyFont="1" applyFill="1" applyBorder="1" applyAlignment="1">
      <alignment horizontal="center" vertical="center" wrapText="1"/>
    </xf>
    <xf numFmtId="0" fontId="5" fillId="3" borderId="36" xfId="0" applyFont="1" applyFill="1" applyBorder="1" applyAlignment="1">
      <alignment horizontal="center" vertical="center" wrapText="1"/>
    </xf>
    <xf numFmtId="5" fontId="5" fillId="22" borderId="29" xfId="0" applyNumberFormat="1" applyFont="1" applyFill="1" applyBorder="1" applyAlignment="1">
      <alignment wrapText="1"/>
    </xf>
    <xf numFmtId="5" fontId="5" fillId="16" borderId="31" xfId="0" applyNumberFormat="1" applyFont="1" applyFill="1" applyBorder="1" applyAlignment="1">
      <alignment wrapText="1"/>
    </xf>
    <xf numFmtId="0" fontId="2" fillId="0" borderId="30" xfId="0" applyFont="1" applyBorder="1"/>
    <xf numFmtId="10" fontId="21" fillId="6" borderId="31" xfId="0" applyNumberFormat="1" applyFont="1" applyFill="1" applyBorder="1" applyAlignment="1">
      <alignment vertical="center"/>
    </xf>
    <xf numFmtId="170" fontId="2" fillId="0" borderId="0" xfId="0" applyNumberFormat="1" applyFont="1" applyBorder="1"/>
    <xf numFmtId="170" fontId="2" fillId="16" borderId="31" xfId="0" applyNumberFormat="1" applyFont="1" applyFill="1" applyBorder="1"/>
    <xf numFmtId="0" fontId="2" fillId="0" borderId="34" xfId="0" applyFont="1" applyBorder="1"/>
    <xf numFmtId="10" fontId="21" fillId="6" borderId="38" xfId="0" applyNumberFormat="1" applyFont="1" applyFill="1" applyBorder="1" applyAlignment="1">
      <alignment vertical="center"/>
    </xf>
    <xf numFmtId="170" fontId="7" fillId="0" borderId="0" xfId="0" applyNumberFormat="1" applyFont="1" applyBorder="1"/>
    <xf numFmtId="170" fontId="2" fillId="16" borderId="35" xfId="0" applyNumberFormat="1" applyFont="1" applyFill="1" applyBorder="1"/>
    <xf numFmtId="0" fontId="2" fillId="0" borderId="34" xfId="0" applyFont="1" applyFill="1" applyBorder="1"/>
    <xf numFmtId="0" fontId="2" fillId="0" borderId="32" xfId="0" applyFont="1" applyBorder="1"/>
    <xf numFmtId="10" fontId="21" fillId="6" borderId="37" xfId="0" applyNumberFormat="1" applyFont="1" applyFill="1" applyBorder="1" applyAlignment="1">
      <alignment vertical="center"/>
    </xf>
    <xf numFmtId="170" fontId="2" fillId="16" borderId="37" xfId="0" applyNumberFormat="1" applyFont="1" applyFill="1" applyBorder="1"/>
    <xf numFmtId="0" fontId="5" fillId="0" borderId="32" xfId="0" applyFont="1" applyBorder="1"/>
    <xf numFmtId="10" fontId="5" fillId="0" borderId="36" xfId="0" applyNumberFormat="1" applyFont="1" applyBorder="1"/>
    <xf numFmtId="170" fontId="5" fillId="0" borderId="27" xfId="0" applyNumberFormat="1" applyFont="1" applyBorder="1"/>
    <xf numFmtId="170" fontId="5" fillId="0" borderId="28" xfId="0" applyNumberFormat="1" applyFont="1" applyBorder="1"/>
    <xf numFmtId="170" fontId="5" fillId="0" borderId="29" xfId="0" applyNumberFormat="1" applyFont="1" applyBorder="1"/>
    <xf numFmtId="170" fontId="5" fillId="16" borderId="39" xfId="0" applyNumberFormat="1" applyFont="1" applyFill="1" applyBorder="1"/>
    <xf numFmtId="0" fontId="15" fillId="10" borderId="25" xfId="5" applyFont="1" applyFill="1" applyBorder="1" applyAlignment="1">
      <alignment horizontal="center" vertical="center" wrapText="1"/>
    </xf>
    <xf numFmtId="0" fontId="15" fillId="10" borderId="20" xfId="5" applyFont="1" applyFill="1" applyBorder="1" applyAlignment="1">
      <alignment horizontal="center" vertical="center" wrapText="1"/>
    </xf>
    <xf numFmtId="0" fontId="15" fillId="10" borderId="26" xfId="5" applyFont="1" applyFill="1" applyBorder="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15" fillId="10" borderId="9" xfId="5" applyFont="1" applyFill="1" applyBorder="1" applyAlignment="1">
      <alignment horizontal="center" vertical="center" wrapText="1"/>
    </xf>
    <xf numFmtId="0" fontId="15" fillId="10" borderId="10" xfId="5" applyFont="1" applyFill="1" applyBorder="1" applyAlignment="1">
      <alignment horizontal="center" vertical="center" wrapText="1"/>
    </xf>
    <xf numFmtId="0" fontId="15" fillId="10" borderId="11" xfId="5" applyFont="1" applyFill="1" applyBorder="1" applyAlignment="1">
      <alignment horizontal="center" vertical="center" wrapText="1"/>
    </xf>
    <xf numFmtId="0" fontId="15" fillId="10" borderId="18" xfId="5" applyFont="1" applyFill="1" applyBorder="1" applyAlignment="1">
      <alignment horizontal="center" vertical="center" wrapText="1"/>
    </xf>
    <xf numFmtId="0" fontId="15" fillId="10" borderId="19" xfId="5" applyFont="1" applyFill="1" applyBorder="1" applyAlignment="1">
      <alignment horizontal="center" vertical="center" wrapText="1"/>
    </xf>
    <xf numFmtId="0" fontId="15" fillId="10" borderId="21" xfId="5" applyFont="1" applyFill="1" applyBorder="1" applyAlignment="1">
      <alignment horizontal="center" vertical="center" wrapText="1"/>
    </xf>
    <xf numFmtId="0" fontId="5" fillId="17" borderId="12" xfId="0" applyFont="1" applyFill="1" applyBorder="1" applyAlignment="1">
      <alignment horizontal="center" wrapText="1"/>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8" xfId="0" applyFont="1" applyFill="1" applyBorder="1" applyAlignment="1">
      <alignment horizontal="center"/>
    </xf>
    <xf numFmtId="0" fontId="5" fillId="10" borderId="15" xfId="0" applyFont="1" applyFill="1" applyBorder="1" applyAlignment="1">
      <alignment horizontal="center"/>
    </xf>
    <xf numFmtId="0" fontId="5" fillId="22" borderId="30" xfId="0" applyFont="1" applyFill="1" applyBorder="1" applyAlignment="1">
      <alignment horizontal="center" vertical="center" wrapText="1"/>
    </xf>
    <xf numFmtId="0" fontId="5" fillId="22" borderId="34" xfId="0" applyFont="1" applyFill="1" applyBorder="1" applyAlignment="1">
      <alignment horizontal="center" vertical="center" wrapText="1"/>
    </xf>
    <xf numFmtId="0" fontId="5" fillId="22" borderId="31" xfId="0" applyFont="1" applyFill="1" applyBorder="1" applyAlignment="1">
      <alignment horizontal="center" vertical="center" wrapText="1"/>
    </xf>
    <xf numFmtId="0" fontId="5" fillId="22" borderId="35" xfId="0" applyFont="1" applyFill="1" applyBorder="1" applyAlignment="1">
      <alignment horizontal="center" vertical="center" wrapText="1"/>
    </xf>
    <xf numFmtId="0" fontId="5" fillId="22" borderId="37" xfId="0" applyFont="1" applyFill="1" applyBorder="1" applyAlignment="1">
      <alignment horizontal="center" vertical="center" wrapText="1"/>
    </xf>
    <xf numFmtId="0" fontId="5" fillId="22" borderId="32" xfId="0" applyFont="1" applyFill="1" applyBorder="1" applyAlignment="1">
      <alignment horizontal="center" vertical="center" wrapText="1"/>
    </xf>
    <xf numFmtId="0" fontId="5" fillId="22" borderId="33"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cellXfs>
  <cellStyles count="8">
    <cellStyle name="Comma" xfId="1" builtinId="3"/>
    <cellStyle name="Comma 2" xfId="7" xr:uid="{2BBBC486-830B-42F9-88DA-EC2B140085F1}"/>
    <cellStyle name="Currency" xfId="2" builtinId="4"/>
    <cellStyle name="Currency 2" xfId="6" xr:uid="{17AAFB12-4293-452D-8479-5903980659BF}"/>
    <cellStyle name="Normal" xfId="0" builtinId="0"/>
    <cellStyle name="Normal 2" xfId="5" xr:uid="{61122F08-D90A-4885-9E30-ACD75820767E}"/>
    <cellStyle name="Percent" xfId="3" builtinId="5"/>
    <cellStyle name="Percent 2" xfId="4" xr:uid="{73BA2F9F-694B-43D8-A88F-3BDA53A939DF}"/>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numLit>
              <c:formatCode>General</c:formatCode>
              <c:ptCount val="2"/>
              <c:pt idx="0">
                <c:v>2018</c:v>
              </c:pt>
              <c:pt idx="1">
                <c:v>2019</c:v>
              </c:pt>
            </c:numLit>
          </c:cat>
          <c:val>
            <c:numRef>
              <c:f>('[1]Category (2020)'!$J$14,'[1]Category (2020)'!$C$14)</c:f>
              <c:numCache>
                <c:formatCode>General</c:formatCode>
                <c:ptCount val="2"/>
                <c:pt idx="0">
                  <c:v>3300</c:v>
                </c:pt>
                <c:pt idx="1">
                  <c:v>4000</c:v>
                </c:pt>
              </c:numCache>
            </c:numRef>
          </c:val>
          <c:extLst>
            <c:ext xmlns:c16="http://schemas.microsoft.com/office/drawing/2014/chart" uri="{C3380CC4-5D6E-409C-BE32-E72D297353CC}">
              <c16:uniqueId val="{00000000-B41B-4D74-9A7C-297CB9B11EBC}"/>
            </c:ext>
          </c:extLst>
        </c:ser>
        <c:ser>
          <c:idx val="7"/>
          <c:order val="1"/>
          <c:tx>
            <c:v>Member Support &amp; Admin</c:v>
          </c:tx>
          <c:invertIfNegative val="0"/>
          <c:cat>
            <c:numLit>
              <c:formatCode>General</c:formatCode>
              <c:ptCount val="2"/>
              <c:pt idx="0">
                <c:v>2018</c:v>
              </c:pt>
              <c:pt idx="1">
                <c:v>2019</c:v>
              </c:pt>
            </c:numLit>
          </c:cat>
          <c:val>
            <c:numRef>
              <c:f>('[1]Category (2020)'!$J$13,'[1]Category (2020)'!$C$13)</c:f>
              <c:numCache>
                <c:formatCode>General</c:formatCode>
                <c:ptCount val="2"/>
                <c:pt idx="0">
                  <c:v>182000</c:v>
                </c:pt>
                <c:pt idx="1">
                  <c:v>163000</c:v>
                </c:pt>
              </c:numCache>
            </c:numRef>
          </c:val>
          <c:extLst>
            <c:ext xmlns:c16="http://schemas.microsoft.com/office/drawing/2014/chart" uri="{C3380CC4-5D6E-409C-BE32-E72D297353CC}">
              <c16:uniqueId val="{00000001-B41B-4D74-9A7C-297CB9B11EBC}"/>
            </c:ext>
          </c:extLst>
        </c:ser>
        <c:ser>
          <c:idx val="6"/>
          <c:order val="2"/>
          <c:tx>
            <c:v>Website, Database, &amp; RCP Support</c:v>
          </c:tx>
          <c:invertIfNegative val="0"/>
          <c:cat>
            <c:numLit>
              <c:formatCode>General</c:formatCode>
              <c:ptCount val="2"/>
              <c:pt idx="0">
                <c:v>2018</c:v>
              </c:pt>
              <c:pt idx="1">
                <c:v>2019</c:v>
              </c:pt>
            </c:numLit>
          </c:cat>
          <c:val>
            <c:numRef>
              <c:f>('[1]Category (2020)'!$J$12,'[1]Category (2020)'!$C$12)</c:f>
              <c:numCache>
                <c:formatCode>General</c:formatCode>
                <c:ptCount val="2"/>
                <c:pt idx="0">
                  <c:v>60000</c:v>
                </c:pt>
                <c:pt idx="1">
                  <c:v>50000</c:v>
                </c:pt>
              </c:numCache>
            </c:numRef>
          </c:val>
          <c:extLst>
            <c:ext xmlns:c16="http://schemas.microsoft.com/office/drawing/2014/chart" uri="{C3380CC4-5D6E-409C-BE32-E72D297353CC}">
              <c16:uniqueId val="{00000002-B41B-4D74-9A7C-297CB9B11EBC}"/>
            </c:ext>
          </c:extLst>
        </c:ser>
        <c:ser>
          <c:idx val="5"/>
          <c:order val="3"/>
          <c:tx>
            <c:v>Regional Coordination</c:v>
          </c:tx>
          <c:invertIfNegative val="0"/>
          <c:cat>
            <c:numLit>
              <c:formatCode>General</c:formatCode>
              <c:ptCount val="2"/>
              <c:pt idx="0">
                <c:v>2018</c:v>
              </c:pt>
              <c:pt idx="1">
                <c:v>2019</c:v>
              </c:pt>
            </c:numLit>
          </c:cat>
          <c:val>
            <c:numRef>
              <c:f>('[1]Category (2020)'!$J$11,'[1]Category (2020)'!$C$11)</c:f>
              <c:numCache>
                <c:formatCode>General</c:formatCode>
                <c:ptCount val="2"/>
                <c:pt idx="0">
                  <c:v>0</c:v>
                </c:pt>
                <c:pt idx="1">
                  <c:v>40000</c:v>
                </c:pt>
              </c:numCache>
            </c:numRef>
          </c:val>
          <c:extLst>
            <c:ext xmlns:c16="http://schemas.microsoft.com/office/drawing/2014/chart" uri="{C3380CC4-5D6E-409C-BE32-E72D297353CC}">
              <c16:uniqueId val="{00000003-B41B-4D74-9A7C-297CB9B11EBC}"/>
            </c:ext>
          </c:extLst>
        </c:ser>
        <c:ser>
          <c:idx val="3"/>
          <c:order val="4"/>
          <c:tx>
            <c:strRef>
              <c:f>'[1]Category (2020)'!$B$9</c:f>
              <c:strCache>
                <c:ptCount val="1"/>
                <c:pt idx="0">
                  <c:v>Tool Development</c:v>
                </c:pt>
              </c:strCache>
            </c:strRef>
          </c:tx>
          <c:invertIfNegative val="0"/>
          <c:cat>
            <c:numLit>
              <c:formatCode>General</c:formatCode>
              <c:ptCount val="2"/>
              <c:pt idx="0">
                <c:v>2018</c:v>
              </c:pt>
              <c:pt idx="1">
                <c:v>2019</c:v>
              </c:pt>
            </c:numLit>
          </c:cat>
          <c:val>
            <c:numRef>
              <c:f>('[1]Category (2020)'!$J$9,'[1]Category (2020)'!$C$9)</c:f>
              <c:numCache>
                <c:formatCode>General</c:formatCode>
                <c:ptCount val="2"/>
                <c:pt idx="0">
                  <c:v>130000</c:v>
                </c:pt>
                <c:pt idx="1">
                  <c:v>0</c:v>
                </c:pt>
              </c:numCache>
            </c:numRef>
          </c:val>
          <c:extLst>
            <c:ext xmlns:c16="http://schemas.microsoft.com/office/drawing/2014/chart" uri="{C3380CC4-5D6E-409C-BE32-E72D297353CC}">
              <c16:uniqueId val="{00000004-B41B-4D74-9A7C-297CB9B11EBC}"/>
            </c:ext>
          </c:extLst>
        </c:ser>
        <c:ser>
          <c:idx val="2"/>
          <c:order val="5"/>
          <c:tx>
            <c:strRef>
              <c:f>'[1]Category (2020)'!$B$8</c:f>
              <c:strCache>
                <c:ptCount val="1"/>
                <c:pt idx="0">
                  <c:v>Standardization of Technical Analysis</c:v>
                </c:pt>
              </c:strCache>
            </c:strRef>
          </c:tx>
          <c:invertIfNegative val="0"/>
          <c:cat>
            <c:numLit>
              <c:formatCode>General</c:formatCode>
              <c:ptCount val="2"/>
              <c:pt idx="0">
                <c:v>2018</c:v>
              </c:pt>
              <c:pt idx="1">
                <c:v>2019</c:v>
              </c:pt>
            </c:numLit>
          </c:cat>
          <c:val>
            <c:numRef>
              <c:f>('[1]Category (2020)'!$J$8,'[1]Category (2020)'!$C$8)</c:f>
              <c:numCache>
                <c:formatCode>General</c:formatCode>
                <c:ptCount val="2"/>
                <c:pt idx="0">
                  <c:v>23500</c:v>
                </c:pt>
                <c:pt idx="1">
                  <c:v>40000</c:v>
                </c:pt>
              </c:numCache>
            </c:numRef>
          </c:val>
          <c:extLst>
            <c:ext xmlns:c16="http://schemas.microsoft.com/office/drawing/2014/chart" uri="{C3380CC4-5D6E-409C-BE32-E72D297353CC}">
              <c16:uniqueId val="{00000005-B41B-4D74-9A7C-297CB9B11EBC}"/>
            </c:ext>
          </c:extLst>
        </c:ser>
        <c:ser>
          <c:idx val="1"/>
          <c:order val="6"/>
          <c:tx>
            <c:v>New Measure Development</c:v>
          </c:tx>
          <c:invertIfNegative val="0"/>
          <c:cat>
            <c:numLit>
              <c:formatCode>General</c:formatCode>
              <c:ptCount val="2"/>
              <c:pt idx="0">
                <c:v>2018</c:v>
              </c:pt>
              <c:pt idx="1">
                <c:v>2019</c:v>
              </c:pt>
            </c:numLit>
          </c:cat>
          <c:val>
            <c:numRef>
              <c:f>('[1]Category (2020)'!$J$7,'[1]Category (2020)'!$C$7)</c:f>
              <c:numCache>
                <c:formatCode>General</c:formatCode>
                <c:ptCount val="2"/>
                <c:pt idx="0">
                  <c:v>41000</c:v>
                </c:pt>
                <c:pt idx="1">
                  <c:v>44000</c:v>
                </c:pt>
              </c:numCache>
            </c:numRef>
          </c:val>
          <c:extLst>
            <c:ext xmlns:c16="http://schemas.microsoft.com/office/drawing/2014/chart" uri="{C3380CC4-5D6E-409C-BE32-E72D297353CC}">
              <c16:uniqueId val="{00000006-B41B-4D74-9A7C-297CB9B11EBC}"/>
            </c:ext>
          </c:extLst>
        </c:ser>
        <c:ser>
          <c:idx val="0"/>
          <c:order val="7"/>
          <c:tx>
            <c:strRef>
              <c:f>'[1]Category (2020)'!$B$6</c:f>
              <c:strCache>
                <c:ptCount val="1"/>
                <c:pt idx="0">
                  <c:v>Existing Measure Review &amp; Updates</c:v>
                </c:pt>
              </c:strCache>
            </c:strRef>
          </c:tx>
          <c:invertIfNegative val="0"/>
          <c:cat>
            <c:numLit>
              <c:formatCode>General</c:formatCode>
              <c:ptCount val="2"/>
              <c:pt idx="0">
                <c:v>2018</c:v>
              </c:pt>
              <c:pt idx="1">
                <c:v>2019</c:v>
              </c:pt>
            </c:numLit>
          </c:cat>
          <c:val>
            <c:numRef>
              <c:f>('[1]Category (2020)'!$J$6,'[1]Category (2020)'!$C$6)</c:f>
              <c:numCache>
                <c:formatCode>General</c:formatCode>
                <c:ptCount val="2"/>
                <c:pt idx="0">
                  <c:v>84000</c:v>
                </c:pt>
                <c:pt idx="1">
                  <c:v>92000</c:v>
                </c:pt>
              </c:numCache>
            </c:numRef>
          </c:val>
          <c:extLst>
            <c:ext xmlns:c16="http://schemas.microsoft.com/office/drawing/2014/chart" uri="{C3380CC4-5D6E-409C-BE32-E72D297353CC}">
              <c16:uniqueId val="{00000007-B41B-4D74-9A7C-297CB9B11EBC}"/>
            </c:ext>
          </c:extLst>
        </c:ser>
        <c:dLbls>
          <c:showLegendKey val="0"/>
          <c:showVal val="0"/>
          <c:showCatName val="0"/>
          <c:showSerName val="0"/>
          <c:showPercent val="0"/>
          <c:showBubbleSize val="0"/>
        </c:dLbls>
        <c:gapWidth val="150"/>
        <c:overlap val="100"/>
        <c:axId val="475779440"/>
        <c:axId val="475779832"/>
      </c:barChart>
      <c:catAx>
        <c:axId val="475779440"/>
        <c:scaling>
          <c:orientation val="minMax"/>
        </c:scaling>
        <c:delete val="0"/>
        <c:axPos val="b"/>
        <c:numFmt formatCode="General" sourceLinked="1"/>
        <c:majorTickMark val="out"/>
        <c:minorTickMark val="none"/>
        <c:tickLblPos val="nextTo"/>
        <c:txPr>
          <a:bodyPr/>
          <a:lstStyle/>
          <a:p>
            <a:pPr>
              <a:defRPr sz="1800" b="1"/>
            </a:pPr>
            <a:endParaRPr lang="en-US"/>
          </a:p>
        </c:txPr>
        <c:crossAx val="475779832"/>
        <c:crosses val="autoZero"/>
        <c:auto val="1"/>
        <c:lblAlgn val="ctr"/>
        <c:lblOffset val="100"/>
        <c:noMultiLvlLbl val="0"/>
      </c:catAx>
      <c:valAx>
        <c:axId val="475779832"/>
        <c:scaling>
          <c:orientation val="minMax"/>
        </c:scaling>
        <c:delete val="0"/>
        <c:axPos val="l"/>
        <c:numFmt formatCode="General" sourceLinked="1"/>
        <c:majorTickMark val="out"/>
        <c:minorTickMark val="none"/>
        <c:tickLblPos val="nextTo"/>
        <c:txPr>
          <a:bodyPr/>
          <a:lstStyle/>
          <a:p>
            <a:pPr>
              <a:defRPr sz="1200"/>
            </a:pPr>
            <a:endParaRPr lang="en-US"/>
          </a:p>
        </c:txPr>
        <c:crossAx val="4757794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including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'Category (2020-2024)'!$A$27</c:f>
              <c:strCache>
                <c:ptCount val="1"/>
                <c:pt idx="0">
                  <c:v>Contract RFP</c:v>
                </c:pt>
              </c:strCache>
            </c:strRef>
          </c:tx>
          <c:spPr>
            <a:solidFill>
              <a:schemeClr val="accent1"/>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9B0E-4E31-AB79-C4CFCE1B748B}"/>
            </c:ext>
          </c:extLst>
        </c:ser>
        <c:ser>
          <c:idx val="1"/>
          <c:order val="1"/>
          <c:tx>
            <c:strRef>
              <c:f>'Category (2020-2024)'!$A$28</c:f>
              <c:strCache>
                <c:ptCount val="1"/>
                <c:pt idx="0">
                  <c:v>Contract Analyst Team</c:v>
                </c:pt>
              </c:strCache>
            </c:strRef>
          </c:tx>
          <c:spPr>
            <a:solidFill>
              <a:schemeClr val="accent6"/>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9B0E-4E31-AB79-C4CFCE1B748B}"/>
            </c:ext>
          </c:extLst>
        </c:ser>
        <c:ser>
          <c:idx val="2"/>
          <c:order val="2"/>
          <c:tx>
            <c:strRef>
              <c:f>'Category (2020-2024)'!$A$29</c:f>
              <c:strCache>
                <c:ptCount val="1"/>
                <c:pt idx="0">
                  <c:v>RTF Manager</c:v>
                </c:pt>
              </c:strCache>
            </c:strRef>
          </c:tx>
          <c:spPr>
            <a:solidFill>
              <a:schemeClr val="accent4"/>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9B0E-4E31-AB79-C4CFCE1B748B}"/>
            </c:ext>
          </c:extLst>
        </c:ser>
        <c:ser>
          <c:idx val="4"/>
          <c:order val="3"/>
          <c:tx>
            <c:strRef>
              <c:f>'Category (2020-2024)'!$A$31</c:f>
              <c:strCache>
                <c:ptCount val="1"/>
                <c:pt idx="0">
                  <c:v>Council Staff</c:v>
                </c:pt>
              </c:strCache>
            </c:strRef>
          </c:tx>
          <c:spPr>
            <a:solidFill>
              <a:schemeClr val="accent3"/>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(2020-2024)'!$B$31:$F$31</c:f>
              <c:numCache>
                <c:formatCode>"$"#,##0_);\("$"#,##0\)</c:formatCode>
                <c:ptCount val="5"/>
                <c:pt idx="0">
                  <c:v>185600</c:v>
                </c:pt>
                <c:pt idx="1">
                  <c:v>190300</c:v>
                </c:pt>
                <c:pt idx="2">
                  <c:v>195000</c:v>
                </c:pt>
                <c:pt idx="3">
                  <c:v>199900</c:v>
                </c:pt>
                <c:pt idx="4">
                  <c:v>204900</c:v>
                </c:pt>
              </c:numCache>
            </c:numRef>
          </c:val>
          <c:extLst>
            <c:ext xmlns:c16="http://schemas.microsoft.com/office/drawing/2014/chart" uri="{C3380CC4-5D6E-409C-BE32-E72D297353CC}">
              <c16:uniqueId val="{00000004-9B0E-4E31-AB79-C4CFCE1B748B}"/>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a:t>
            </a:r>
            <a:r>
              <a:rPr lang="en-US" baseline="0"/>
              <a:t> Funding, excluding Council Contribution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'Category (2020-2024)'!$A$27</c:f>
              <c:strCache>
                <c:ptCount val="1"/>
                <c:pt idx="0">
                  <c:v>Contract RFP</c:v>
                </c:pt>
              </c:strCache>
            </c:strRef>
          </c:tx>
          <c:spPr>
            <a:solidFill>
              <a:schemeClr val="accent1"/>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(2020-2024)'!$B$27:$F$27</c:f>
              <c:numCache>
                <c:formatCode>"$"#,##0_);\("$"#,##0\)</c:formatCode>
                <c:ptCount val="5"/>
                <c:pt idx="0">
                  <c:v>433000</c:v>
                </c:pt>
                <c:pt idx="1">
                  <c:v>431400</c:v>
                </c:pt>
                <c:pt idx="2">
                  <c:v>412900</c:v>
                </c:pt>
                <c:pt idx="3">
                  <c:v>440400</c:v>
                </c:pt>
                <c:pt idx="4">
                  <c:v>436000</c:v>
                </c:pt>
              </c:numCache>
            </c:numRef>
          </c:val>
          <c:extLst>
            <c:ext xmlns:c16="http://schemas.microsoft.com/office/drawing/2014/chart" uri="{C3380CC4-5D6E-409C-BE32-E72D297353CC}">
              <c16:uniqueId val="{00000000-34DC-4615-8CEC-EB1FBDC0213C}"/>
            </c:ext>
          </c:extLst>
        </c:ser>
        <c:ser>
          <c:idx val="1"/>
          <c:order val="1"/>
          <c:tx>
            <c:strRef>
              <c:f>'Category (2020-2024)'!$A$28</c:f>
              <c:strCache>
                <c:ptCount val="1"/>
                <c:pt idx="0">
                  <c:v>Contract Analyst Team</c:v>
                </c:pt>
              </c:strCache>
            </c:strRef>
          </c:tx>
          <c:spPr>
            <a:solidFill>
              <a:schemeClr val="accent6"/>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(2020-2024)'!$B$28:$F$28</c:f>
              <c:numCache>
                <c:formatCode>"$"#,##0_);\("$"#,##0\)</c:formatCode>
                <c:ptCount val="5"/>
                <c:pt idx="0">
                  <c:v>1193000</c:v>
                </c:pt>
                <c:pt idx="1">
                  <c:v>1235200</c:v>
                </c:pt>
                <c:pt idx="2">
                  <c:v>1295400</c:v>
                </c:pt>
                <c:pt idx="3">
                  <c:v>1310600</c:v>
                </c:pt>
                <c:pt idx="4">
                  <c:v>1358700</c:v>
                </c:pt>
              </c:numCache>
            </c:numRef>
          </c:val>
          <c:extLst>
            <c:ext xmlns:c16="http://schemas.microsoft.com/office/drawing/2014/chart" uri="{C3380CC4-5D6E-409C-BE32-E72D297353CC}">
              <c16:uniqueId val="{00000001-34DC-4615-8CEC-EB1FBDC0213C}"/>
            </c:ext>
          </c:extLst>
        </c:ser>
        <c:ser>
          <c:idx val="2"/>
          <c:order val="2"/>
          <c:tx>
            <c:strRef>
              <c:f>'Category (2020-2024)'!$A$29</c:f>
              <c:strCache>
                <c:ptCount val="1"/>
                <c:pt idx="0">
                  <c:v>RTF Manager</c:v>
                </c:pt>
              </c:strCache>
            </c:strRef>
          </c:tx>
          <c:spPr>
            <a:solidFill>
              <a:schemeClr val="accent4"/>
            </a:solidFill>
            <a:ln>
              <a:noFill/>
            </a:ln>
            <a:effectLst/>
          </c:spPr>
          <c:invertIfNegative val="0"/>
          <c:cat>
            <c:numRef>
              <c:f>'Category (2020-2024)'!$B$26:$F$26</c:f>
              <c:numCache>
                <c:formatCode>General</c:formatCode>
                <c:ptCount val="5"/>
                <c:pt idx="0">
                  <c:v>2020</c:v>
                </c:pt>
                <c:pt idx="1">
                  <c:v>2021</c:v>
                </c:pt>
                <c:pt idx="2">
                  <c:v>2022</c:v>
                </c:pt>
                <c:pt idx="3">
                  <c:v>2023</c:v>
                </c:pt>
                <c:pt idx="4">
                  <c:v>2024</c:v>
                </c:pt>
              </c:numCache>
            </c:numRef>
          </c:cat>
          <c:val>
            <c:numRef>
              <c:f>'Category (2020-2024)'!$B$29:$F$29</c:f>
              <c:numCache>
                <c:formatCode>"$"#,##0_);\("$"#,##0\)</c:formatCode>
                <c:ptCount val="5"/>
                <c:pt idx="0">
                  <c:v>174000</c:v>
                </c:pt>
                <c:pt idx="1">
                  <c:v>178400</c:v>
                </c:pt>
                <c:pt idx="2">
                  <c:v>182800</c:v>
                </c:pt>
                <c:pt idx="3">
                  <c:v>187400</c:v>
                </c:pt>
                <c:pt idx="4">
                  <c:v>192100</c:v>
                </c:pt>
              </c:numCache>
            </c:numRef>
          </c:val>
          <c:extLst>
            <c:ext xmlns:c16="http://schemas.microsoft.com/office/drawing/2014/chart" uri="{C3380CC4-5D6E-409C-BE32-E72D297353CC}">
              <c16:uniqueId val="{00000002-34DC-4615-8CEC-EB1FBDC0213C}"/>
            </c:ext>
          </c:extLst>
        </c:ser>
        <c:dLbls>
          <c:showLegendKey val="0"/>
          <c:showVal val="0"/>
          <c:showCatName val="0"/>
          <c:showSerName val="0"/>
          <c:showPercent val="0"/>
          <c:showBubbleSize val="0"/>
        </c:dLbls>
        <c:gapWidth val="75"/>
        <c:overlap val="100"/>
        <c:axId val="645696192"/>
        <c:axId val="645696520"/>
      </c:barChart>
      <c:catAx>
        <c:axId val="64569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520"/>
        <c:crosses val="autoZero"/>
        <c:auto val="1"/>
        <c:lblAlgn val="ctr"/>
        <c:lblOffset val="100"/>
        <c:noMultiLvlLbl val="0"/>
      </c:catAx>
      <c:valAx>
        <c:axId val="64569652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569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Electric vs Gas Funding</a:t>
            </a:r>
            <a:r>
              <a:rPr lang="en-US" baseline="0"/>
              <a:t> Split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'Category (2020-2024)'!$A$55</c:f>
              <c:strCache>
                <c:ptCount val="1"/>
                <c:pt idx="0">
                  <c:v>Electric</c:v>
                </c:pt>
              </c:strCache>
            </c:strRef>
          </c:tx>
          <c:spPr>
            <a:solidFill>
              <a:schemeClr val="accent4"/>
            </a:solidFill>
            <a:ln>
              <a:noFill/>
            </a:ln>
            <a:effectLst/>
          </c:spPr>
          <c:invertIfNegative val="0"/>
          <c:cat>
            <c:numRef>
              <c:f>'Category (2020-2024)'!$B$54:$F$54</c:f>
              <c:numCache>
                <c:formatCode>General</c:formatCode>
                <c:ptCount val="5"/>
                <c:pt idx="0">
                  <c:v>2020</c:v>
                </c:pt>
                <c:pt idx="1">
                  <c:v>2021</c:v>
                </c:pt>
                <c:pt idx="2">
                  <c:v>2022</c:v>
                </c:pt>
                <c:pt idx="3">
                  <c:v>2023</c:v>
                </c:pt>
                <c:pt idx="4">
                  <c:v>2024</c:v>
                </c:pt>
              </c:numCache>
            </c:numRef>
          </c:cat>
          <c:val>
            <c:numRef>
              <c:f>'Category (2020-2024)'!$B$55:$F$55</c:f>
              <c:numCache>
                <c:formatCode>"$"#,##0_);\("$"#,##0\)</c:formatCode>
                <c:ptCount val="5"/>
                <c:pt idx="0">
                  <c:v>1476000</c:v>
                </c:pt>
                <c:pt idx="1">
                  <c:v>1512900</c:v>
                </c:pt>
                <c:pt idx="2">
                  <c:v>1550700</c:v>
                </c:pt>
                <c:pt idx="3">
                  <c:v>1589500</c:v>
                </c:pt>
                <c:pt idx="4">
                  <c:v>1629200</c:v>
                </c:pt>
              </c:numCache>
            </c:numRef>
          </c:val>
          <c:extLst>
            <c:ext xmlns:c16="http://schemas.microsoft.com/office/drawing/2014/chart" uri="{C3380CC4-5D6E-409C-BE32-E72D297353CC}">
              <c16:uniqueId val="{00000000-D095-400D-8EB8-A35B18FF83C9}"/>
            </c:ext>
          </c:extLst>
        </c:ser>
        <c:ser>
          <c:idx val="1"/>
          <c:order val="1"/>
          <c:tx>
            <c:strRef>
              <c:f>'Category (2020-2024)'!$A$56</c:f>
              <c:strCache>
                <c:ptCount val="1"/>
                <c:pt idx="0">
                  <c:v>Gas</c:v>
                </c:pt>
              </c:strCache>
            </c:strRef>
          </c:tx>
          <c:spPr>
            <a:solidFill>
              <a:schemeClr val="accent5"/>
            </a:solidFill>
            <a:ln>
              <a:noFill/>
            </a:ln>
            <a:effectLst/>
          </c:spPr>
          <c:invertIfNegative val="0"/>
          <c:cat>
            <c:numRef>
              <c:f>'Category (2020-2024)'!$B$54:$F$54</c:f>
              <c:numCache>
                <c:formatCode>General</c:formatCode>
                <c:ptCount val="5"/>
                <c:pt idx="0">
                  <c:v>2020</c:v>
                </c:pt>
                <c:pt idx="1">
                  <c:v>2021</c:v>
                </c:pt>
                <c:pt idx="2">
                  <c:v>2022</c:v>
                </c:pt>
                <c:pt idx="3">
                  <c:v>2023</c:v>
                </c:pt>
                <c:pt idx="4">
                  <c:v>2024</c:v>
                </c:pt>
              </c:numCache>
            </c:numRef>
          </c:cat>
          <c:val>
            <c:numRef>
              <c:f>'Category (2020-2024)'!$B$56:$F$56</c:f>
              <c:numCache>
                <c:formatCode>"$"#,##0_);\("$"#,##0\)</c:formatCode>
                <c:ptCount val="5"/>
                <c:pt idx="0">
                  <c:v>324000</c:v>
                </c:pt>
                <c:pt idx="1">
                  <c:v>332100</c:v>
                </c:pt>
                <c:pt idx="2">
                  <c:v>340400</c:v>
                </c:pt>
                <c:pt idx="3">
                  <c:v>348900</c:v>
                </c:pt>
                <c:pt idx="4">
                  <c:v>357600</c:v>
                </c:pt>
              </c:numCache>
            </c:numRef>
          </c:val>
          <c:extLst>
            <c:ext xmlns:c16="http://schemas.microsoft.com/office/drawing/2014/chart" uri="{C3380CC4-5D6E-409C-BE32-E72D297353CC}">
              <c16:uniqueId val="{00000001-D095-400D-8EB8-A35B18FF83C9}"/>
            </c:ext>
          </c:extLst>
        </c:ser>
        <c:dLbls>
          <c:showLegendKey val="0"/>
          <c:showVal val="0"/>
          <c:showCatName val="0"/>
          <c:showSerName val="0"/>
          <c:showPercent val="0"/>
          <c:showBubbleSize val="0"/>
        </c:dLbls>
        <c:gapWidth val="75"/>
        <c:overlap val="100"/>
        <c:axId val="725579864"/>
        <c:axId val="725578880"/>
      </c:barChart>
      <c:catAx>
        <c:axId val="725579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8880"/>
        <c:crosses val="autoZero"/>
        <c:auto val="1"/>
        <c:lblAlgn val="ctr"/>
        <c:lblOffset val="100"/>
        <c:noMultiLvlLbl val="0"/>
      </c:catAx>
      <c:valAx>
        <c:axId val="72557888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255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Annual Funding, by Category (excluding Council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4"/>
          <c:order val="0"/>
          <c:tx>
            <c:strRef>
              <c:f>'Category (2020-2024)'!$A$39</c:f>
              <c:strCache>
                <c:ptCount val="1"/>
                <c:pt idx="0">
                  <c:v>RTF Management</c:v>
                </c:pt>
              </c:strCache>
            </c:strRef>
          </c:tx>
          <c:spPr>
            <a:solidFill>
              <a:schemeClr val="accent5"/>
            </a:solidFill>
            <a:ln>
              <a:noFill/>
            </a:ln>
            <a:effectLst/>
          </c:spPr>
          <c:invertIfNegative val="0"/>
          <c:cat>
            <c:numRef>
              <c:f>'Category (2020-2024)'!$B$35:$F$35</c:f>
              <c:numCache>
                <c:formatCode>General</c:formatCode>
                <c:ptCount val="5"/>
                <c:pt idx="0">
                  <c:v>2020</c:v>
                </c:pt>
                <c:pt idx="1">
                  <c:v>2021</c:v>
                </c:pt>
                <c:pt idx="2">
                  <c:v>2022</c:v>
                </c:pt>
                <c:pt idx="3">
                  <c:v>2023</c:v>
                </c:pt>
                <c:pt idx="4">
                  <c:v>2024</c:v>
                </c:pt>
              </c:numCache>
            </c:numRef>
          </c:cat>
          <c:val>
            <c:numRef>
              <c:f>'Category (2020-2024)'!$B$39:$F$39</c:f>
              <c:numCache>
                <c:formatCode>"$"#,##0_);\("$"#,##0\)</c:formatCode>
                <c:ptCount val="5"/>
                <c:pt idx="0">
                  <c:v>504000</c:v>
                </c:pt>
                <c:pt idx="1">
                  <c:v>516700</c:v>
                </c:pt>
                <c:pt idx="2">
                  <c:v>529500</c:v>
                </c:pt>
                <c:pt idx="3">
                  <c:v>542700</c:v>
                </c:pt>
                <c:pt idx="4">
                  <c:v>556300</c:v>
                </c:pt>
              </c:numCache>
            </c:numRef>
          </c:val>
          <c:extLst>
            <c:ext xmlns:c16="http://schemas.microsoft.com/office/drawing/2014/chart" uri="{C3380CC4-5D6E-409C-BE32-E72D297353CC}">
              <c16:uniqueId val="{00000004-4C71-44E1-B7AE-4F0CC68D77C4}"/>
            </c:ext>
          </c:extLst>
        </c:ser>
        <c:ser>
          <c:idx val="3"/>
          <c:order val="1"/>
          <c:tx>
            <c:strRef>
              <c:f>'Category (2020-2024)'!$A$38</c:f>
              <c:strCache>
                <c:ptCount val="1"/>
                <c:pt idx="0">
                  <c:v>Demand Response</c:v>
                </c:pt>
              </c:strCache>
            </c:strRef>
          </c:tx>
          <c:spPr>
            <a:solidFill>
              <a:schemeClr val="accent4"/>
            </a:solidFill>
            <a:ln>
              <a:noFill/>
            </a:ln>
            <a:effectLst/>
          </c:spPr>
          <c:invertIfNegative val="0"/>
          <c:cat>
            <c:numRef>
              <c:f>'Category (2020-2024)'!$B$35:$F$35</c:f>
              <c:numCache>
                <c:formatCode>General</c:formatCode>
                <c:ptCount val="5"/>
                <c:pt idx="0">
                  <c:v>2020</c:v>
                </c:pt>
                <c:pt idx="1">
                  <c:v>2021</c:v>
                </c:pt>
                <c:pt idx="2">
                  <c:v>2022</c:v>
                </c:pt>
                <c:pt idx="3">
                  <c:v>2023</c:v>
                </c:pt>
                <c:pt idx="4">
                  <c:v>2024</c:v>
                </c:pt>
              </c:numCache>
            </c:numRef>
          </c:cat>
          <c:val>
            <c:numRef>
              <c:f>'Category (2020-2024)'!$B$38:$F$38</c:f>
              <c:numCache>
                <c:formatCode>"$"#,##0_);\("$"#,##0\)</c:formatCode>
                <c:ptCount val="5"/>
                <c:pt idx="0">
                  <c:v>50000</c:v>
                </c:pt>
                <c:pt idx="1">
                  <c:v>51200</c:v>
                </c:pt>
                <c:pt idx="2">
                  <c:v>52500</c:v>
                </c:pt>
                <c:pt idx="3">
                  <c:v>53800</c:v>
                </c:pt>
                <c:pt idx="4">
                  <c:v>55200</c:v>
                </c:pt>
              </c:numCache>
            </c:numRef>
          </c:val>
          <c:extLst>
            <c:ext xmlns:c16="http://schemas.microsoft.com/office/drawing/2014/chart" uri="{C3380CC4-5D6E-409C-BE32-E72D297353CC}">
              <c16:uniqueId val="{00000003-4C71-44E1-B7AE-4F0CC68D77C4}"/>
            </c:ext>
          </c:extLst>
        </c:ser>
        <c:ser>
          <c:idx val="2"/>
          <c:order val="2"/>
          <c:tx>
            <c:strRef>
              <c:f>'Category (2020-2024)'!$A$37</c:f>
              <c:strCache>
                <c:ptCount val="1"/>
                <c:pt idx="0">
                  <c:v>Tools and Regional Coordination</c:v>
                </c:pt>
              </c:strCache>
            </c:strRef>
          </c:tx>
          <c:spPr>
            <a:solidFill>
              <a:schemeClr val="accent6"/>
            </a:solidFill>
            <a:ln>
              <a:noFill/>
            </a:ln>
            <a:effectLst/>
          </c:spPr>
          <c:invertIfNegative val="0"/>
          <c:cat>
            <c:numRef>
              <c:f>'Category (2020-2024)'!$B$35:$F$35</c:f>
              <c:numCache>
                <c:formatCode>General</c:formatCode>
                <c:ptCount val="5"/>
                <c:pt idx="0">
                  <c:v>2020</c:v>
                </c:pt>
                <c:pt idx="1">
                  <c:v>2021</c:v>
                </c:pt>
                <c:pt idx="2">
                  <c:v>2022</c:v>
                </c:pt>
                <c:pt idx="3">
                  <c:v>2023</c:v>
                </c:pt>
                <c:pt idx="4">
                  <c:v>2024</c:v>
                </c:pt>
              </c:numCache>
            </c:numRef>
          </c:cat>
          <c:val>
            <c:numRef>
              <c:f>'Category (2020-2024)'!$B$37:$F$37</c:f>
              <c:numCache>
                <c:formatCode>"$"#,##0_);\("$"#,##0\)</c:formatCode>
                <c:ptCount val="5"/>
                <c:pt idx="0">
                  <c:v>275000</c:v>
                </c:pt>
                <c:pt idx="1">
                  <c:v>360800</c:v>
                </c:pt>
                <c:pt idx="2">
                  <c:v>425600</c:v>
                </c:pt>
                <c:pt idx="3">
                  <c:v>413500</c:v>
                </c:pt>
                <c:pt idx="4">
                  <c:v>345400</c:v>
                </c:pt>
              </c:numCache>
            </c:numRef>
          </c:val>
          <c:extLst>
            <c:ext xmlns:c16="http://schemas.microsoft.com/office/drawing/2014/chart" uri="{C3380CC4-5D6E-409C-BE32-E72D297353CC}">
              <c16:uniqueId val="{00000002-4C71-44E1-B7AE-4F0CC68D77C4}"/>
            </c:ext>
          </c:extLst>
        </c:ser>
        <c:ser>
          <c:idx val="1"/>
          <c:order val="3"/>
          <c:tx>
            <c:strRef>
              <c:f>'Category (2020-2024)'!$A$36</c:f>
              <c:strCache>
                <c:ptCount val="1"/>
                <c:pt idx="0">
                  <c:v>Measure Analysis</c:v>
                </c:pt>
              </c:strCache>
            </c:strRef>
          </c:tx>
          <c:spPr>
            <a:solidFill>
              <a:schemeClr val="accent2"/>
            </a:solidFill>
            <a:ln>
              <a:noFill/>
            </a:ln>
            <a:effectLst/>
          </c:spPr>
          <c:invertIfNegative val="0"/>
          <c:cat>
            <c:numRef>
              <c:f>'Category (2020-2024)'!$B$35:$F$35</c:f>
              <c:numCache>
                <c:formatCode>General</c:formatCode>
                <c:ptCount val="5"/>
                <c:pt idx="0">
                  <c:v>2020</c:v>
                </c:pt>
                <c:pt idx="1">
                  <c:v>2021</c:v>
                </c:pt>
                <c:pt idx="2">
                  <c:v>2022</c:v>
                </c:pt>
                <c:pt idx="3">
                  <c:v>2023</c:v>
                </c:pt>
                <c:pt idx="4">
                  <c:v>2024</c:v>
                </c:pt>
              </c:numCache>
            </c:numRef>
          </c:cat>
          <c:val>
            <c:numRef>
              <c:f>'Category (2020-2024)'!$B$36:$F$36</c:f>
              <c:numCache>
                <c:formatCode>"$"#,##0_);\("$"#,##0\)</c:formatCode>
                <c:ptCount val="5"/>
                <c:pt idx="0">
                  <c:v>971000</c:v>
                </c:pt>
                <c:pt idx="1">
                  <c:v>916300</c:v>
                </c:pt>
                <c:pt idx="2">
                  <c:v>883500</c:v>
                </c:pt>
                <c:pt idx="3">
                  <c:v>928400</c:v>
                </c:pt>
                <c:pt idx="4">
                  <c:v>1029900</c:v>
                </c:pt>
              </c:numCache>
            </c:numRef>
          </c:val>
          <c:extLst>
            <c:ext xmlns:c16="http://schemas.microsoft.com/office/drawing/2014/chart" uri="{C3380CC4-5D6E-409C-BE32-E72D297353CC}">
              <c16:uniqueId val="{00000001-4C71-44E1-B7AE-4F0CC68D77C4}"/>
            </c:ext>
          </c:extLst>
        </c:ser>
        <c:dLbls>
          <c:showLegendKey val="0"/>
          <c:showVal val="0"/>
          <c:showCatName val="0"/>
          <c:showSerName val="0"/>
          <c:showPercent val="0"/>
          <c:showBubbleSize val="0"/>
        </c:dLbls>
        <c:gapWidth val="75"/>
        <c:overlap val="100"/>
        <c:axId val="745228632"/>
        <c:axId val="745228960"/>
      </c:barChart>
      <c:catAx>
        <c:axId val="74522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960"/>
        <c:crosses val="autoZero"/>
        <c:auto val="1"/>
        <c:lblAlgn val="ctr"/>
        <c:lblOffset val="100"/>
        <c:noMultiLvlLbl val="0"/>
      </c:catAx>
      <c:valAx>
        <c:axId val="745228960"/>
        <c:scaling>
          <c:orientation val="minMax"/>
          <c:max val="2000000"/>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45228632"/>
        <c:crosses val="autoZero"/>
        <c:crossBetween val="between"/>
      </c:valAx>
      <c:spPr>
        <a:noFill/>
        <a:ln>
          <a:noFill/>
        </a:ln>
        <a:effectLst/>
      </c:spPr>
    </c:plotArea>
    <c:legend>
      <c:legendPos val="r"/>
      <c:layout>
        <c:manualLayout>
          <c:xMode val="edge"/>
          <c:yMode val="edge"/>
          <c:x val="0.70318003243225191"/>
          <c:y val="0.48508965505525403"/>
          <c:w val="0.27771168731297124"/>
          <c:h val="0.280478726566946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'[1]Category (2020)'!$B$14</c:f>
              <c:strCache>
                <c:ptCount val="1"/>
                <c:pt idx="0">
                  <c:v>RTF Management</c:v>
                </c:pt>
              </c:strCache>
            </c:strRef>
          </c:tx>
          <c:invertIfNegative val="0"/>
          <c:cat>
            <c:strLit>
              <c:ptCount val="2"/>
              <c:pt idx="0">
                <c:v>2018</c:v>
              </c:pt>
              <c:pt idx="1">
                <c:v>2019</c:v>
              </c:pt>
            </c:strLit>
          </c:cat>
          <c:val>
            <c:numRef>
              <c:f>('[1]Category (2020)'!$L$14,'[1]Category (2020)'!$E$14)</c:f>
              <c:numCache>
                <c:formatCode>General</c:formatCode>
                <c:ptCount val="2"/>
                <c:pt idx="0">
                  <c:v>157000</c:v>
                </c:pt>
                <c:pt idx="1">
                  <c:v>174000</c:v>
                </c:pt>
              </c:numCache>
            </c:numRef>
          </c:val>
          <c:extLst>
            <c:ext xmlns:c16="http://schemas.microsoft.com/office/drawing/2014/chart" uri="{C3380CC4-5D6E-409C-BE32-E72D297353CC}">
              <c16:uniqueId val="{00000000-DB57-4A1C-9558-5268AEC59944}"/>
            </c:ext>
          </c:extLst>
        </c:ser>
        <c:ser>
          <c:idx val="7"/>
          <c:order val="1"/>
          <c:tx>
            <c:v>Member Support &amp; Admin</c:v>
          </c:tx>
          <c:invertIfNegative val="0"/>
          <c:cat>
            <c:strLit>
              <c:ptCount val="2"/>
              <c:pt idx="0">
                <c:v>2018</c:v>
              </c:pt>
              <c:pt idx="1">
                <c:v>2019</c:v>
              </c:pt>
            </c:strLit>
          </c:cat>
          <c:val>
            <c:numRef>
              <c:f>('[1]Category (2020)'!$K$13,'[1]Category (2020)'!$D$13)</c:f>
              <c:numCache>
                <c:formatCode>General</c:formatCode>
                <c:ptCount val="2"/>
                <c:pt idx="0">
                  <c:v>90000</c:v>
                </c:pt>
                <c:pt idx="1">
                  <c:v>113000</c:v>
                </c:pt>
              </c:numCache>
            </c:numRef>
          </c:val>
          <c:extLst>
            <c:ext xmlns:c16="http://schemas.microsoft.com/office/drawing/2014/chart" uri="{C3380CC4-5D6E-409C-BE32-E72D297353CC}">
              <c16:uniqueId val="{00000001-DB57-4A1C-9558-5268AEC59944}"/>
            </c:ext>
          </c:extLst>
        </c:ser>
        <c:ser>
          <c:idx val="6"/>
          <c:order val="2"/>
          <c:tx>
            <c:v>Webiste, Database &amp; RCP Support</c:v>
          </c:tx>
          <c:invertIfNegative val="0"/>
          <c:cat>
            <c:strLit>
              <c:ptCount val="2"/>
              <c:pt idx="0">
                <c:v>2018</c:v>
              </c:pt>
              <c:pt idx="1">
                <c:v>2019</c:v>
              </c:pt>
            </c:strLit>
          </c:cat>
          <c:val>
            <c:numRef>
              <c:f>('[1]Category (2020)'!$K$12,'[1]Category (2020)'!$D$12)</c:f>
              <c:numCache>
                <c:formatCode>General</c:formatCode>
                <c:ptCount val="2"/>
                <c:pt idx="0">
                  <c:v>5000</c:v>
                </c:pt>
                <c:pt idx="1">
                  <c:v>0</c:v>
                </c:pt>
              </c:numCache>
            </c:numRef>
          </c:val>
          <c:extLst>
            <c:ext xmlns:c16="http://schemas.microsoft.com/office/drawing/2014/chart" uri="{C3380CC4-5D6E-409C-BE32-E72D297353CC}">
              <c16:uniqueId val="{00000002-DB57-4A1C-9558-5268AEC59944}"/>
            </c:ext>
          </c:extLst>
        </c:ser>
        <c:ser>
          <c:idx val="5"/>
          <c:order val="3"/>
          <c:tx>
            <c:v>Regional Coordination</c:v>
          </c:tx>
          <c:invertIfNegative val="0"/>
          <c:cat>
            <c:strLit>
              <c:ptCount val="2"/>
              <c:pt idx="0">
                <c:v>2018</c:v>
              </c:pt>
              <c:pt idx="1">
                <c:v>2019</c:v>
              </c:pt>
            </c:strLit>
          </c:cat>
          <c:val>
            <c:numRef>
              <c:f>('[1]Category (2020)'!$K$11,'[1]Category (2020)'!$D$11)</c:f>
              <c:numCache>
                <c:formatCode>General</c:formatCode>
                <c:ptCount val="2"/>
                <c:pt idx="0">
                  <c:v>93000</c:v>
                </c:pt>
                <c:pt idx="1">
                  <c:v>10000</c:v>
                </c:pt>
              </c:numCache>
            </c:numRef>
          </c:val>
          <c:extLst>
            <c:ext xmlns:c16="http://schemas.microsoft.com/office/drawing/2014/chart" uri="{C3380CC4-5D6E-409C-BE32-E72D297353CC}">
              <c16:uniqueId val="{00000003-DB57-4A1C-9558-5268AEC59944}"/>
            </c:ext>
          </c:extLst>
        </c:ser>
        <c:ser>
          <c:idx val="4"/>
          <c:order val="4"/>
          <c:tx>
            <c:strRef>
              <c:f>'[1]Category (2020)'!$B$10</c:f>
              <c:strCache>
                <c:ptCount val="1"/>
                <c:pt idx="0">
                  <c:v>Regional Coordination</c:v>
                </c:pt>
              </c:strCache>
            </c:strRef>
          </c:tx>
          <c:invertIfNegative val="0"/>
          <c:cat>
            <c:strLit>
              <c:ptCount val="2"/>
              <c:pt idx="0">
                <c:v>2018</c:v>
              </c:pt>
              <c:pt idx="1">
                <c:v>2019</c:v>
              </c:pt>
            </c:strLit>
          </c:cat>
          <c:val>
            <c:numRef>
              <c:f>('[1]Category (2020)'!$M$10,'[1]Category (2020)'!$F$10)</c:f>
              <c:numCache>
                <c:formatCode>General</c:formatCode>
                <c:ptCount val="2"/>
                <c:pt idx="0">
                  <c:v>130000</c:v>
                </c:pt>
                <c:pt idx="1">
                  <c:v>155000</c:v>
                </c:pt>
              </c:numCache>
            </c:numRef>
          </c:val>
          <c:extLst>
            <c:ext xmlns:c16="http://schemas.microsoft.com/office/drawing/2014/chart" uri="{C3380CC4-5D6E-409C-BE32-E72D297353CC}">
              <c16:uniqueId val="{00000004-DB57-4A1C-9558-5268AEC59944}"/>
            </c:ext>
          </c:extLst>
        </c:ser>
        <c:ser>
          <c:idx val="3"/>
          <c:order val="5"/>
          <c:tx>
            <c:strRef>
              <c:f>'[1]Category (2020)'!$B$9</c:f>
              <c:strCache>
                <c:ptCount val="1"/>
                <c:pt idx="0">
                  <c:v>Tool Development</c:v>
                </c:pt>
              </c:strCache>
            </c:strRef>
          </c:tx>
          <c:invertIfNegative val="0"/>
          <c:cat>
            <c:strLit>
              <c:ptCount val="2"/>
              <c:pt idx="0">
                <c:v>2018</c:v>
              </c:pt>
              <c:pt idx="1">
                <c:v>2019</c:v>
              </c:pt>
            </c:strLit>
          </c:cat>
          <c:val>
            <c:numRef>
              <c:f>('[1]Category (2020)'!$K$9,'[1]Category (2020)'!$D$9)</c:f>
              <c:numCache>
                <c:formatCode>General</c:formatCode>
                <c:ptCount val="2"/>
                <c:pt idx="0">
                  <c:v>151400</c:v>
                </c:pt>
                <c:pt idx="1">
                  <c:v>120000</c:v>
                </c:pt>
              </c:numCache>
            </c:numRef>
          </c:val>
          <c:extLst>
            <c:ext xmlns:c16="http://schemas.microsoft.com/office/drawing/2014/chart" uri="{C3380CC4-5D6E-409C-BE32-E72D297353CC}">
              <c16:uniqueId val="{00000005-DB57-4A1C-9558-5268AEC59944}"/>
            </c:ext>
          </c:extLst>
        </c:ser>
        <c:ser>
          <c:idx val="2"/>
          <c:order val="6"/>
          <c:tx>
            <c:strRef>
              <c:f>'[1]Category (2020)'!$B$8</c:f>
              <c:strCache>
                <c:ptCount val="1"/>
                <c:pt idx="0">
                  <c:v>Standardization of Technical Analysis</c:v>
                </c:pt>
              </c:strCache>
            </c:strRef>
          </c:tx>
          <c:invertIfNegative val="0"/>
          <c:cat>
            <c:strLit>
              <c:ptCount val="2"/>
              <c:pt idx="0">
                <c:v>2018</c:v>
              </c:pt>
              <c:pt idx="1">
                <c:v>2019</c:v>
              </c:pt>
            </c:strLit>
          </c:cat>
          <c:val>
            <c:numRef>
              <c:f>('[1]Category (2020)'!$K$8,'[1]Category (2020)'!$D$8)</c:f>
              <c:numCache>
                <c:formatCode>General</c:formatCode>
                <c:ptCount val="2"/>
                <c:pt idx="0">
                  <c:v>210000</c:v>
                </c:pt>
                <c:pt idx="1">
                  <c:v>230000</c:v>
                </c:pt>
              </c:numCache>
            </c:numRef>
          </c:val>
          <c:extLst>
            <c:ext xmlns:c16="http://schemas.microsoft.com/office/drawing/2014/chart" uri="{C3380CC4-5D6E-409C-BE32-E72D297353CC}">
              <c16:uniqueId val="{00000006-DB57-4A1C-9558-5268AEC59944}"/>
            </c:ext>
          </c:extLst>
        </c:ser>
        <c:ser>
          <c:idx val="1"/>
          <c:order val="7"/>
          <c:tx>
            <c:v>New Measure Development</c:v>
          </c:tx>
          <c:invertIfNegative val="0"/>
          <c:cat>
            <c:strLit>
              <c:ptCount val="2"/>
              <c:pt idx="0">
                <c:v>2018</c:v>
              </c:pt>
              <c:pt idx="1">
                <c:v>2019</c:v>
              </c:pt>
            </c:strLit>
          </c:cat>
          <c:val>
            <c:numRef>
              <c:f>('[1]Category (2020)'!$K$7,'[1]Category (2020)'!$D$7)</c:f>
              <c:numCache>
                <c:formatCode>General</c:formatCode>
                <c:ptCount val="2"/>
                <c:pt idx="0">
                  <c:v>223000</c:v>
                </c:pt>
                <c:pt idx="1">
                  <c:v>220000</c:v>
                </c:pt>
              </c:numCache>
            </c:numRef>
          </c:val>
          <c:extLst>
            <c:ext xmlns:c16="http://schemas.microsoft.com/office/drawing/2014/chart" uri="{C3380CC4-5D6E-409C-BE32-E72D297353CC}">
              <c16:uniqueId val="{00000007-DB57-4A1C-9558-5268AEC59944}"/>
            </c:ext>
          </c:extLst>
        </c:ser>
        <c:ser>
          <c:idx val="0"/>
          <c:order val="8"/>
          <c:tx>
            <c:strRef>
              <c:f>'[1]Category (2020)'!$B$6</c:f>
              <c:strCache>
                <c:ptCount val="1"/>
                <c:pt idx="0">
                  <c:v>Existing Measure Review &amp; Updates</c:v>
                </c:pt>
              </c:strCache>
            </c:strRef>
          </c:tx>
          <c:invertIfNegative val="0"/>
          <c:cat>
            <c:strLit>
              <c:ptCount val="2"/>
              <c:pt idx="0">
                <c:v>2018</c:v>
              </c:pt>
              <c:pt idx="1">
                <c:v>2019</c:v>
              </c:pt>
            </c:strLit>
          </c:cat>
          <c:val>
            <c:numRef>
              <c:f>('[1]Category (2020)'!$K$6,'[1]Category (2020)'!$D$6)</c:f>
              <c:numCache>
                <c:formatCode>General</c:formatCode>
                <c:ptCount val="2"/>
                <c:pt idx="0">
                  <c:v>292000</c:v>
                </c:pt>
                <c:pt idx="1">
                  <c:v>345000</c:v>
                </c:pt>
              </c:numCache>
            </c:numRef>
          </c:val>
          <c:extLst>
            <c:ext xmlns:c16="http://schemas.microsoft.com/office/drawing/2014/chart" uri="{C3380CC4-5D6E-409C-BE32-E72D297353CC}">
              <c16:uniqueId val="{00000008-DB57-4A1C-9558-5268AEC59944}"/>
            </c:ext>
          </c:extLst>
        </c:ser>
        <c:dLbls>
          <c:showLegendKey val="0"/>
          <c:showVal val="0"/>
          <c:showCatName val="0"/>
          <c:showSerName val="0"/>
          <c:showPercent val="0"/>
          <c:showBubbleSize val="0"/>
        </c:dLbls>
        <c:gapWidth val="150"/>
        <c:overlap val="100"/>
        <c:axId val="475780616"/>
        <c:axId val="475781008"/>
      </c:barChart>
      <c:catAx>
        <c:axId val="475780616"/>
        <c:scaling>
          <c:orientation val="minMax"/>
        </c:scaling>
        <c:delete val="0"/>
        <c:axPos val="b"/>
        <c:numFmt formatCode="General" sourceLinked="1"/>
        <c:majorTickMark val="out"/>
        <c:minorTickMark val="none"/>
        <c:tickLblPos val="nextTo"/>
        <c:txPr>
          <a:bodyPr/>
          <a:lstStyle/>
          <a:p>
            <a:pPr>
              <a:defRPr sz="1800" b="1"/>
            </a:pPr>
            <a:endParaRPr lang="en-US"/>
          </a:p>
        </c:txPr>
        <c:crossAx val="475781008"/>
        <c:crosses val="autoZero"/>
        <c:auto val="1"/>
        <c:lblAlgn val="ctr"/>
        <c:lblOffset val="100"/>
        <c:noMultiLvlLbl val="0"/>
      </c:catAx>
      <c:valAx>
        <c:axId val="475781008"/>
        <c:scaling>
          <c:orientation val="minMax"/>
        </c:scaling>
        <c:delete val="0"/>
        <c:axPos val="l"/>
        <c:numFmt formatCode="General" sourceLinked="1"/>
        <c:majorTickMark val="out"/>
        <c:minorTickMark val="none"/>
        <c:tickLblPos val="nextTo"/>
        <c:txPr>
          <a:bodyPr/>
          <a:lstStyle/>
          <a:p>
            <a:pPr>
              <a:defRPr sz="1200"/>
            </a:pPr>
            <a:endParaRPr lang="en-US"/>
          </a:p>
        </c:txPr>
        <c:crossAx val="47578061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'[1]Category (2020)'!$O$123</c:f>
              <c:strCache>
                <c:ptCount val="1"/>
              </c:strCache>
            </c:strRef>
          </c:tx>
          <c:invertIfNegative val="0"/>
          <c:cat>
            <c:numRef>
              <c:f>'[1]Category (2020)'!$P$122:$R$122</c:f>
              <c:numCache>
                <c:formatCode>General</c:formatCode>
                <c:ptCount val="3"/>
              </c:numCache>
            </c:numRef>
          </c:cat>
          <c:val>
            <c:numRef>
              <c:f>'[1]Category (2020)'!$P$123:$R$123</c:f>
              <c:numCache>
                <c:formatCode>General</c:formatCode>
                <c:ptCount val="3"/>
              </c:numCache>
            </c:numRef>
          </c:val>
          <c:extLst>
            <c:ext xmlns:c16="http://schemas.microsoft.com/office/drawing/2014/chart" uri="{C3380CC4-5D6E-409C-BE32-E72D297353CC}">
              <c16:uniqueId val="{00000000-4C78-4BB6-8199-50851231E675}"/>
            </c:ext>
          </c:extLst>
        </c:ser>
        <c:ser>
          <c:idx val="0"/>
          <c:order val="1"/>
          <c:tx>
            <c:strRef>
              <c:f>'[1]Category (2020)'!$O$125</c:f>
              <c:strCache>
                <c:ptCount val="1"/>
              </c:strCache>
            </c:strRef>
          </c:tx>
          <c:invertIfNegative val="0"/>
          <c:cat>
            <c:numRef>
              <c:f>'[1]Category (2020)'!$P$122:$R$122</c:f>
              <c:numCache>
                <c:formatCode>General</c:formatCode>
                <c:ptCount val="3"/>
              </c:numCache>
            </c:numRef>
          </c:cat>
          <c:val>
            <c:numRef>
              <c:f>'[1]Category (2020)'!$P$125:$R$125</c:f>
              <c:numCache>
                <c:formatCode>General</c:formatCode>
                <c:ptCount val="3"/>
              </c:numCache>
            </c:numRef>
          </c:val>
          <c:extLst>
            <c:ext xmlns:c16="http://schemas.microsoft.com/office/drawing/2014/chart" uri="{C3380CC4-5D6E-409C-BE32-E72D297353CC}">
              <c16:uniqueId val="{00000001-4C78-4BB6-8199-50851231E675}"/>
            </c:ext>
          </c:extLst>
        </c:ser>
        <c:dLbls>
          <c:showLegendKey val="0"/>
          <c:showVal val="0"/>
          <c:showCatName val="0"/>
          <c:showSerName val="0"/>
          <c:showPercent val="0"/>
          <c:showBubbleSize val="0"/>
        </c:dLbls>
        <c:gapWidth val="150"/>
        <c:overlap val="100"/>
        <c:axId val="475781792"/>
        <c:axId val="475782184"/>
      </c:barChart>
      <c:catAx>
        <c:axId val="475781792"/>
        <c:scaling>
          <c:orientation val="minMax"/>
        </c:scaling>
        <c:delete val="0"/>
        <c:axPos val="b"/>
        <c:numFmt formatCode="General" sourceLinked="1"/>
        <c:majorTickMark val="out"/>
        <c:minorTickMark val="none"/>
        <c:tickLblPos val="nextTo"/>
        <c:txPr>
          <a:bodyPr/>
          <a:lstStyle/>
          <a:p>
            <a:pPr>
              <a:defRPr sz="1800" b="1"/>
            </a:pPr>
            <a:endParaRPr lang="en-US"/>
          </a:p>
        </c:txPr>
        <c:crossAx val="475782184"/>
        <c:crosses val="autoZero"/>
        <c:auto val="1"/>
        <c:lblAlgn val="ctr"/>
        <c:lblOffset val="100"/>
        <c:noMultiLvlLbl val="0"/>
      </c:catAx>
      <c:valAx>
        <c:axId val="475782184"/>
        <c:scaling>
          <c:orientation val="minMax"/>
        </c:scaling>
        <c:delete val="0"/>
        <c:axPos val="l"/>
        <c:numFmt formatCode="General" sourceLinked="1"/>
        <c:majorTickMark val="out"/>
        <c:minorTickMark val="none"/>
        <c:tickLblPos val="nextTo"/>
        <c:txPr>
          <a:bodyPr/>
          <a:lstStyle/>
          <a:p>
            <a:pPr>
              <a:defRPr sz="1200"/>
            </a:pPr>
            <a:endParaRPr lang="en-US"/>
          </a:p>
        </c:txPr>
        <c:crossAx val="47578179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Budget (excluding</a:t>
            </a:r>
            <a:r>
              <a:rPr lang="en-US" baseline="0"/>
              <a:t> Council contributions)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(2020)'!$A$14</c:f>
              <c:strCache>
                <c:ptCount val="1"/>
                <c:pt idx="0">
                  <c:v>RTF Management</c:v>
                </c:pt>
              </c:strCache>
            </c:strRef>
          </c:tx>
          <c:spPr>
            <a:solidFill>
              <a:schemeClr val="accent4">
                <a:lumMod val="60000"/>
              </a:schemeClr>
            </a:solidFill>
            <a:ln>
              <a:noFill/>
            </a:ln>
            <a:effectLst/>
          </c:spPr>
          <c:invertIfNegative val="0"/>
          <c:cat>
            <c:strLit>
              <c:ptCount val="3"/>
              <c:pt idx="0">
                <c:v>2018</c:v>
              </c:pt>
              <c:pt idx="1">
                <c:v>2019</c:v>
              </c:pt>
              <c:pt idx="2">
                <c:v>Proposed 2020</c:v>
              </c:pt>
            </c:strLit>
          </c:cat>
          <c:val>
            <c:numRef>
              <c:f>('Category (2020)'!$S$14,'Category (2020)'!$L$14,'Category (2020)'!$E$14)</c:f>
              <c:numCache>
                <c:formatCode>"$"#,##0_);\("$"#,##0\)</c:formatCode>
                <c:ptCount val="3"/>
                <c:pt idx="0">
                  <c:v>157300</c:v>
                </c:pt>
                <c:pt idx="1">
                  <c:v>160300</c:v>
                </c:pt>
                <c:pt idx="2">
                  <c:v>178000</c:v>
                </c:pt>
              </c:numCache>
            </c:numRef>
          </c:val>
          <c:extLst>
            <c:ext xmlns:c16="http://schemas.microsoft.com/office/drawing/2014/chart" uri="{C3380CC4-5D6E-409C-BE32-E72D297353CC}">
              <c16:uniqueId val="{00000009-27E5-4CBE-9C5E-E6DF51632C0C}"/>
            </c:ext>
          </c:extLst>
        </c:ser>
        <c:ser>
          <c:idx val="8"/>
          <c:order val="1"/>
          <c:tx>
            <c:strRef>
              <c:f>'Category (2020)'!$A$13</c:f>
              <c:strCache>
                <c:ptCount val="1"/>
                <c:pt idx="0">
                  <c:v>RTF Meeting Support</c:v>
                </c:pt>
              </c:strCache>
            </c:strRef>
          </c:tx>
          <c:spPr>
            <a:solidFill>
              <a:schemeClr val="accent3">
                <a:lumMod val="60000"/>
              </a:schemeClr>
            </a:solidFill>
            <a:ln>
              <a:noFill/>
            </a:ln>
            <a:effectLst/>
          </c:spPr>
          <c:invertIfNegative val="0"/>
          <c:cat>
            <c:strLit>
              <c:ptCount val="3"/>
              <c:pt idx="0">
                <c:v>2018</c:v>
              </c:pt>
              <c:pt idx="1">
                <c:v>2019</c:v>
              </c:pt>
              <c:pt idx="2">
                <c:v>Proposed 2020</c:v>
              </c:pt>
            </c:strLit>
          </c:cat>
          <c:val>
            <c:numRef>
              <c:f>('Category (2020)'!$S$13,'Category (2020)'!$L$13,'Category (2020)'!$E$13)</c:f>
              <c:numCache>
                <c:formatCode>"$"#,##0_);\("$"#,##0\)</c:formatCode>
                <c:ptCount val="3"/>
                <c:pt idx="0">
                  <c:v>261900</c:v>
                </c:pt>
                <c:pt idx="1">
                  <c:v>272000</c:v>
                </c:pt>
                <c:pt idx="2">
                  <c:v>276000</c:v>
                </c:pt>
              </c:numCache>
            </c:numRef>
          </c:val>
          <c:extLst>
            <c:ext xmlns:c16="http://schemas.microsoft.com/office/drawing/2014/chart" uri="{C3380CC4-5D6E-409C-BE32-E72D297353CC}">
              <c16:uniqueId val="{00000008-27E5-4CBE-9C5E-E6DF51632C0C}"/>
            </c:ext>
          </c:extLst>
        </c:ser>
        <c:ser>
          <c:idx val="7"/>
          <c:order val="2"/>
          <c:tx>
            <c:strRef>
              <c:f>'Category (2020)'!$A$12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2018</c:v>
              </c:pt>
              <c:pt idx="1">
                <c:v>2019</c:v>
              </c:pt>
              <c:pt idx="2">
                <c:v>Proposed 2020</c:v>
              </c:pt>
            </c:strLit>
          </c:cat>
          <c:val>
            <c:numRef>
              <c:f>('Category (2020)'!$S$12,'Category (2020)'!$L$12,'Category (2020)'!$E$12)</c:f>
              <c:numCache>
                <c:formatCode>"$"#,##0_);\("$"#,##0\)</c:formatCode>
                <c:ptCount val="3"/>
                <c:pt idx="0">
                  <c:v>75000</c:v>
                </c:pt>
                <c:pt idx="1">
                  <c:v>65000</c:v>
                </c:pt>
                <c:pt idx="2">
                  <c:v>50000</c:v>
                </c:pt>
              </c:numCache>
            </c:numRef>
          </c:val>
          <c:extLst>
            <c:ext xmlns:c16="http://schemas.microsoft.com/office/drawing/2014/chart" uri="{C3380CC4-5D6E-409C-BE32-E72D297353CC}">
              <c16:uniqueId val="{00000007-27E5-4CBE-9C5E-E6DF51632C0C}"/>
            </c:ext>
          </c:extLst>
        </c:ser>
        <c:ser>
          <c:idx val="6"/>
          <c:order val="3"/>
          <c:tx>
            <c:strRef>
              <c:f>'Category (2020)'!$A$11</c:f>
              <c:strCache>
                <c:ptCount val="1"/>
                <c:pt idx="0">
                  <c:v>Demand Response</c:v>
                </c:pt>
              </c:strCache>
            </c:strRef>
          </c:tx>
          <c:spPr>
            <a:solidFill>
              <a:schemeClr val="accent1">
                <a:lumMod val="60000"/>
              </a:schemeClr>
            </a:solidFill>
            <a:ln>
              <a:noFill/>
            </a:ln>
            <a:effectLst/>
          </c:spPr>
          <c:invertIfNegative val="0"/>
          <c:cat>
            <c:strLit>
              <c:ptCount val="3"/>
              <c:pt idx="0">
                <c:v>2018</c:v>
              </c:pt>
              <c:pt idx="1">
                <c:v>2019</c:v>
              </c:pt>
              <c:pt idx="2">
                <c:v>Proposed 2020</c:v>
              </c:pt>
            </c:strLit>
          </c:cat>
          <c:val>
            <c:numRef>
              <c:f>('Category (2020)'!$S$11,'Category (2020)'!$L$11,'Category (2020)'!$E$11)</c:f>
              <c:numCache>
                <c:formatCode>"$"#,##0_);\("$"#,##0\)</c:formatCode>
                <c:ptCount val="3"/>
                <c:pt idx="0">
                  <c:v>0</c:v>
                </c:pt>
                <c:pt idx="1">
                  <c:v>93000</c:v>
                </c:pt>
                <c:pt idx="2">
                  <c:v>50000</c:v>
                </c:pt>
              </c:numCache>
            </c:numRef>
          </c:val>
          <c:extLst>
            <c:ext xmlns:c16="http://schemas.microsoft.com/office/drawing/2014/chart" uri="{C3380CC4-5D6E-409C-BE32-E72D297353CC}">
              <c16:uniqueId val="{00000006-27E5-4CBE-9C5E-E6DF51632C0C}"/>
            </c:ext>
          </c:extLst>
        </c:ser>
        <c:ser>
          <c:idx val="5"/>
          <c:order val="4"/>
          <c:tx>
            <c:strRef>
              <c:f>'Category (2020)'!$A$10</c:f>
              <c:strCache>
                <c:ptCount val="1"/>
                <c:pt idx="0">
                  <c:v>Regional Coordination</c:v>
                </c:pt>
              </c:strCache>
            </c:strRef>
          </c:tx>
          <c:spPr>
            <a:solidFill>
              <a:schemeClr val="accent6"/>
            </a:solidFill>
            <a:ln>
              <a:noFill/>
            </a:ln>
            <a:effectLst/>
          </c:spPr>
          <c:invertIfNegative val="0"/>
          <c:cat>
            <c:strLit>
              <c:ptCount val="3"/>
              <c:pt idx="0">
                <c:v>2018</c:v>
              </c:pt>
              <c:pt idx="1">
                <c:v>2019</c:v>
              </c:pt>
              <c:pt idx="2">
                <c:v>Proposed 2020</c:v>
              </c:pt>
            </c:strLit>
          </c:cat>
          <c:val>
            <c:numRef>
              <c:f>('Category (2020)'!$S$10,'Category (2020)'!$L$10,'Category (2020)'!$E$10)</c:f>
              <c:numCache>
                <c:formatCode>"$"#,##0_);\("$"#,##0\)</c:formatCode>
                <c:ptCount val="3"/>
                <c:pt idx="0">
                  <c:v>285000</c:v>
                </c:pt>
                <c:pt idx="1">
                  <c:v>130000</c:v>
                </c:pt>
                <c:pt idx="2">
                  <c:v>155000</c:v>
                </c:pt>
              </c:numCache>
            </c:numRef>
          </c:val>
          <c:extLst>
            <c:ext xmlns:c16="http://schemas.microsoft.com/office/drawing/2014/chart" uri="{C3380CC4-5D6E-409C-BE32-E72D297353CC}">
              <c16:uniqueId val="{00000005-27E5-4CBE-9C5E-E6DF51632C0C}"/>
            </c:ext>
          </c:extLst>
        </c:ser>
        <c:ser>
          <c:idx val="4"/>
          <c:order val="5"/>
          <c:tx>
            <c:strRef>
              <c:f>'Category (2020)'!$A$9</c:f>
              <c:strCache>
                <c:ptCount val="1"/>
                <c:pt idx="0">
                  <c:v>Tool Development</c:v>
                </c:pt>
              </c:strCache>
            </c:strRef>
          </c:tx>
          <c:spPr>
            <a:solidFill>
              <a:schemeClr val="accent5"/>
            </a:solidFill>
            <a:ln>
              <a:noFill/>
            </a:ln>
            <a:effectLst/>
          </c:spPr>
          <c:invertIfNegative val="0"/>
          <c:cat>
            <c:strLit>
              <c:ptCount val="3"/>
              <c:pt idx="0">
                <c:v>2018</c:v>
              </c:pt>
              <c:pt idx="1">
                <c:v>2019</c:v>
              </c:pt>
              <c:pt idx="2">
                <c:v>Proposed 2020</c:v>
              </c:pt>
            </c:strLit>
          </c:cat>
          <c:val>
            <c:numRef>
              <c:f>('Category (2020)'!$S$9,'Category (2020)'!$L$9,'Category (2020)'!$E$9)</c:f>
              <c:numCache>
                <c:formatCode>"$"#,##0_);\("$"#,##0\)</c:formatCode>
                <c:ptCount val="3"/>
                <c:pt idx="0">
                  <c:v>50000</c:v>
                </c:pt>
                <c:pt idx="1">
                  <c:v>281400</c:v>
                </c:pt>
                <c:pt idx="2">
                  <c:v>120000</c:v>
                </c:pt>
              </c:numCache>
            </c:numRef>
          </c:val>
          <c:extLst>
            <c:ext xmlns:c16="http://schemas.microsoft.com/office/drawing/2014/chart" uri="{C3380CC4-5D6E-409C-BE32-E72D297353CC}">
              <c16:uniqueId val="{00000004-27E5-4CBE-9C5E-E6DF51632C0C}"/>
            </c:ext>
          </c:extLst>
        </c:ser>
        <c:ser>
          <c:idx val="3"/>
          <c:order val="6"/>
          <c:tx>
            <c:strRef>
              <c:f>'Category (2020)'!$A$8</c:f>
              <c:strCache>
                <c:ptCount val="1"/>
                <c:pt idx="0">
                  <c:v>Standardization of Technical Analysis</c:v>
                </c:pt>
              </c:strCache>
            </c:strRef>
          </c:tx>
          <c:spPr>
            <a:solidFill>
              <a:schemeClr val="accent4"/>
            </a:solidFill>
            <a:ln>
              <a:noFill/>
            </a:ln>
            <a:effectLst/>
          </c:spPr>
          <c:invertIfNegative val="0"/>
          <c:cat>
            <c:strLit>
              <c:ptCount val="3"/>
              <c:pt idx="0">
                <c:v>2018</c:v>
              </c:pt>
              <c:pt idx="1">
                <c:v>2019</c:v>
              </c:pt>
              <c:pt idx="2">
                <c:v>Proposed 2020</c:v>
              </c:pt>
            </c:strLit>
          </c:cat>
          <c:val>
            <c:numRef>
              <c:f>('Category (2020)'!$S$8,'Category (2020)'!$L$8,'Category (2020)'!$E$8)</c:f>
              <c:numCache>
                <c:formatCode>"$"#,##0_);\("$"#,##0\)</c:formatCode>
                <c:ptCount val="3"/>
                <c:pt idx="0">
                  <c:v>193500</c:v>
                </c:pt>
                <c:pt idx="1">
                  <c:v>233500</c:v>
                </c:pt>
                <c:pt idx="2">
                  <c:v>270000</c:v>
                </c:pt>
              </c:numCache>
            </c:numRef>
          </c:val>
          <c:extLst>
            <c:ext xmlns:c16="http://schemas.microsoft.com/office/drawing/2014/chart" uri="{C3380CC4-5D6E-409C-BE32-E72D297353CC}">
              <c16:uniqueId val="{00000003-27E5-4CBE-9C5E-E6DF51632C0C}"/>
            </c:ext>
          </c:extLst>
        </c:ser>
        <c:ser>
          <c:idx val="2"/>
          <c:order val="7"/>
          <c:tx>
            <c:strRef>
              <c:f>'Category (2020)'!$A$7</c:f>
              <c:strCache>
                <c:ptCount val="1"/>
                <c:pt idx="0">
                  <c:v>New Measure Development</c:v>
                </c:pt>
              </c:strCache>
            </c:strRef>
          </c:tx>
          <c:spPr>
            <a:solidFill>
              <a:schemeClr val="accent3"/>
            </a:solidFill>
            <a:ln>
              <a:noFill/>
            </a:ln>
            <a:effectLst/>
          </c:spPr>
          <c:invertIfNegative val="0"/>
          <c:cat>
            <c:strLit>
              <c:ptCount val="3"/>
              <c:pt idx="0">
                <c:v>2018</c:v>
              </c:pt>
              <c:pt idx="1">
                <c:v>2019</c:v>
              </c:pt>
              <c:pt idx="2">
                <c:v>Proposed 2020</c:v>
              </c:pt>
            </c:strLit>
          </c:cat>
          <c:val>
            <c:numRef>
              <c:f>('Category (2020)'!$S$7,'Category (2020)'!$L$7,'Category (2020)'!$E$7)</c:f>
              <c:numCache>
                <c:formatCode>"$"#,##0_);\("$"#,##0\)</c:formatCode>
                <c:ptCount val="3"/>
                <c:pt idx="0">
                  <c:v>344000</c:v>
                </c:pt>
                <c:pt idx="1">
                  <c:v>264000</c:v>
                </c:pt>
                <c:pt idx="2">
                  <c:v>264000</c:v>
                </c:pt>
              </c:numCache>
            </c:numRef>
          </c:val>
          <c:extLst>
            <c:ext xmlns:c16="http://schemas.microsoft.com/office/drawing/2014/chart" uri="{C3380CC4-5D6E-409C-BE32-E72D297353CC}">
              <c16:uniqueId val="{00000002-27E5-4CBE-9C5E-E6DF51632C0C}"/>
            </c:ext>
          </c:extLst>
        </c:ser>
        <c:ser>
          <c:idx val="1"/>
          <c:order val="8"/>
          <c:tx>
            <c:strRef>
              <c:f>'Category (2020)'!$A$6</c:f>
              <c:strCache>
                <c:ptCount val="1"/>
                <c:pt idx="0">
                  <c:v>Existing Measure Maintenance</c:v>
                </c:pt>
              </c:strCache>
            </c:strRef>
          </c:tx>
          <c:spPr>
            <a:solidFill>
              <a:schemeClr val="accent2"/>
            </a:solidFill>
            <a:ln>
              <a:noFill/>
            </a:ln>
            <a:effectLst/>
          </c:spPr>
          <c:invertIfNegative val="0"/>
          <c:cat>
            <c:strLit>
              <c:ptCount val="3"/>
              <c:pt idx="0">
                <c:v>2018</c:v>
              </c:pt>
              <c:pt idx="1">
                <c:v>2019</c:v>
              </c:pt>
              <c:pt idx="2">
                <c:v>Proposed 2020</c:v>
              </c:pt>
            </c:strLit>
          </c:cat>
          <c:val>
            <c:numRef>
              <c:f>('Category (2020)'!$S$6,'Category (2020)'!$L$6,'Category (2020)'!$E$6)</c:f>
              <c:numCache>
                <c:formatCode>"$"#,##0_);\("$"#,##0\)</c:formatCode>
                <c:ptCount val="3"/>
                <c:pt idx="0">
                  <c:v>467000</c:v>
                </c:pt>
                <c:pt idx="1">
                  <c:v>376000</c:v>
                </c:pt>
                <c:pt idx="2">
                  <c:v>437000</c:v>
                </c:pt>
              </c:numCache>
            </c:numRef>
          </c:val>
          <c:extLst>
            <c:ext xmlns:c16="http://schemas.microsoft.com/office/drawing/2014/chart" uri="{C3380CC4-5D6E-409C-BE32-E72D297353CC}">
              <c16:uniqueId val="{00000001-27E5-4CBE-9C5E-E6DF51632C0C}"/>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Analyst Team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(2020)'!$A$14</c:f>
              <c:strCache>
                <c:ptCount val="1"/>
                <c:pt idx="0">
                  <c:v>RTF Management</c:v>
                </c:pt>
              </c:strCache>
            </c:strRef>
          </c:tx>
          <c:spPr>
            <a:solidFill>
              <a:schemeClr val="accent4">
                <a:lumMod val="60000"/>
              </a:schemeClr>
            </a:solidFill>
            <a:ln>
              <a:noFill/>
            </a:ln>
            <a:effectLst/>
          </c:spPr>
          <c:invertIfNegative val="0"/>
          <c:cat>
            <c:strLit>
              <c:ptCount val="3"/>
              <c:pt idx="0">
                <c:v>2018</c:v>
              </c:pt>
              <c:pt idx="1">
                <c:v>2019</c:v>
              </c:pt>
              <c:pt idx="2">
                <c:v>Proposed 2020</c:v>
              </c:pt>
            </c:strLit>
          </c:cat>
          <c:val>
            <c:numRef>
              <c:f>('Category (2020)'!$P$14,'Category (2020)'!$I$14,'Category (2020)'!$B$14)</c:f>
              <c:numCache>
                <c:formatCode>"$"#,##0_);\("$"#,##0\)</c:formatCode>
                <c:ptCount val="3"/>
                <c:pt idx="0">
                  <c:v>4300</c:v>
                </c:pt>
                <c:pt idx="1">
                  <c:v>3300</c:v>
                </c:pt>
                <c:pt idx="2">
                  <c:v>4000</c:v>
                </c:pt>
              </c:numCache>
            </c:numRef>
          </c:val>
          <c:extLst>
            <c:ext xmlns:c16="http://schemas.microsoft.com/office/drawing/2014/chart" uri="{C3380CC4-5D6E-409C-BE32-E72D297353CC}">
              <c16:uniqueId val="{00000000-BAB3-4DD5-8962-39512E1CE848}"/>
            </c:ext>
          </c:extLst>
        </c:ser>
        <c:ser>
          <c:idx val="8"/>
          <c:order val="1"/>
          <c:tx>
            <c:strRef>
              <c:f>'Category (2020)'!$A$13</c:f>
              <c:strCache>
                <c:ptCount val="1"/>
                <c:pt idx="0">
                  <c:v>RTF Meeting Support</c:v>
                </c:pt>
              </c:strCache>
            </c:strRef>
          </c:tx>
          <c:spPr>
            <a:solidFill>
              <a:schemeClr val="accent3">
                <a:lumMod val="60000"/>
              </a:schemeClr>
            </a:solidFill>
            <a:ln>
              <a:noFill/>
            </a:ln>
            <a:effectLst/>
          </c:spPr>
          <c:invertIfNegative val="0"/>
          <c:cat>
            <c:strLit>
              <c:ptCount val="3"/>
              <c:pt idx="0">
                <c:v>2018</c:v>
              </c:pt>
              <c:pt idx="1">
                <c:v>2019</c:v>
              </c:pt>
              <c:pt idx="2">
                <c:v>Proposed 2020</c:v>
              </c:pt>
            </c:strLit>
          </c:cat>
          <c:val>
            <c:numRef>
              <c:f>('Category (2020)'!$P$13,'Category (2020)'!$I$13,'Category (2020)'!$B$13)</c:f>
              <c:numCache>
                <c:formatCode>"$"#,##0_);\("$"#,##0\)</c:formatCode>
                <c:ptCount val="3"/>
                <c:pt idx="0">
                  <c:v>186900</c:v>
                </c:pt>
                <c:pt idx="1">
                  <c:v>182000</c:v>
                </c:pt>
                <c:pt idx="2">
                  <c:v>163000</c:v>
                </c:pt>
              </c:numCache>
            </c:numRef>
          </c:val>
          <c:extLst>
            <c:ext xmlns:c16="http://schemas.microsoft.com/office/drawing/2014/chart" uri="{C3380CC4-5D6E-409C-BE32-E72D297353CC}">
              <c16:uniqueId val="{00000001-BAB3-4DD5-8962-39512E1CE848}"/>
            </c:ext>
          </c:extLst>
        </c:ser>
        <c:ser>
          <c:idx val="7"/>
          <c:order val="2"/>
          <c:tx>
            <c:strRef>
              <c:f>'Category (2020)'!$A$12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2018</c:v>
              </c:pt>
              <c:pt idx="1">
                <c:v>2019</c:v>
              </c:pt>
              <c:pt idx="2">
                <c:v>Proposed 2020</c:v>
              </c:pt>
            </c:strLit>
          </c:cat>
          <c:val>
            <c:numRef>
              <c:f>('Category (2020)'!$P$12,'Category (2020)'!$I$12,'Category (2020)'!$B$12)</c:f>
              <c:numCache>
                <c:formatCode>"$"#,##0_);\("$"#,##0\)</c:formatCode>
                <c:ptCount val="3"/>
                <c:pt idx="0">
                  <c:v>65000</c:v>
                </c:pt>
                <c:pt idx="1">
                  <c:v>60000</c:v>
                </c:pt>
                <c:pt idx="2">
                  <c:v>50000</c:v>
                </c:pt>
              </c:numCache>
            </c:numRef>
          </c:val>
          <c:extLst>
            <c:ext xmlns:c16="http://schemas.microsoft.com/office/drawing/2014/chart" uri="{C3380CC4-5D6E-409C-BE32-E72D297353CC}">
              <c16:uniqueId val="{00000002-BAB3-4DD5-8962-39512E1CE848}"/>
            </c:ext>
          </c:extLst>
        </c:ser>
        <c:ser>
          <c:idx val="6"/>
          <c:order val="3"/>
          <c:tx>
            <c:strRef>
              <c:f>'Category (2020)'!$A$11</c:f>
              <c:strCache>
                <c:ptCount val="1"/>
                <c:pt idx="0">
                  <c:v>Demand Response</c:v>
                </c:pt>
              </c:strCache>
            </c:strRef>
          </c:tx>
          <c:spPr>
            <a:solidFill>
              <a:schemeClr val="accent1">
                <a:lumMod val="60000"/>
              </a:schemeClr>
            </a:solidFill>
            <a:ln>
              <a:noFill/>
            </a:ln>
            <a:effectLst/>
          </c:spPr>
          <c:invertIfNegative val="0"/>
          <c:cat>
            <c:strLit>
              <c:ptCount val="3"/>
              <c:pt idx="0">
                <c:v>2018</c:v>
              </c:pt>
              <c:pt idx="1">
                <c:v>2019</c:v>
              </c:pt>
              <c:pt idx="2">
                <c:v>Proposed 2020</c:v>
              </c:pt>
            </c:strLit>
          </c:cat>
          <c:val>
            <c:numRef>
              <c:f>('Category (2020)'!$P$11,'Category (2020)'!$I$11,'Category (2020)'!$B$11)</c:f>
              <c:numCache>
                <c:formatCode>"$"#,##0_);\("$"#,##0\)</c:formatCode>
                <c:ptCount val="3"/>
                <c:pt idx="0">
                  <c:v>0</c:v>
                </c:pt>
                <c:pt idx="1">
                  <c:v>0</c:v>
                </c:pt>
                <c:pt idx="2">
                  <c:v>40000</c:v>
                </c:pt>
              </c:numCache>
            </c:numRef>
          </c:val>
          <c:extLst>
            <c:ext xmlns:c16="http://schemas.microsoft.com/office/drawing/2014/chart" uri="{C3380CC4-5D6E-409C-BE32-E72D297353CC}">
              <c16:uniqueId val="{00000003-BAB3-4DD5-8962-39512E1CE848}"/>
            </c:ext>
          </c:extLst>
        </c:ser>
        <c:ser>
          <c:idx val="5"/>
          <c:order val="4"/>
          <c:tx>
            <c:strRef>
              <c:f>'Category (2020)'!$A$10</c:f>
              <c:strCache>
                <c:ptCount val="1"/>
                <c:pt idx="0">
                  <c:v>Regional Coordination</c:v>
                </c:pt>
              </c:strCache>
            </c:strRef>
          </c:tx>
          <c:spPr>
            <a:solidFill>
              <a:schemeClr val="accent6"/>
            </a:solidFill>
            <a:ln>
              <a:noFill/>
            </a:ln>
            <a:effectLst/>
          </c:spPr>
          <c:invertIfNegative val="0"/>
          <c:cat>
            <c:strLit>
              <c:ptCount val="3"/>
              <c:pt idx="0">
                <c:v>2018</c:v>
              </c:pt>
              <c:pt idx="1">
                <c:v>2019</c:v>
              </c:pt>
              <c:pt idx="2">
                <c:v>Proposed 2020</c:v>
              </c:pt>
            </c:strLit>
          </c:cat>
          <c:val>
            <c:numRef>
              <c:f>('Category (2020)'!$P$10,'Category (2020)'!$I$10,'Category (2020)'!$B$10)</c:f>
              <c:numCache>
                <c:formatCode>"$"#,##0_);\("$"#,##0\)</c:formatCode>
                <c:ptCount val="3"/>
                <c:pt idx="0">
                  <c:v>70000</c:v>
                </c:pt>
                <c:pt idx="1">
                  <c:v>0</c:v>
                </c:pt>
                <c:pt idx="2">
                  <c:v>0</c:v>
                </c:pt>
              </c:numCache>
            </c:numRef>
          </c:val>
          <c:extLst>
            <c:ext xmlns:c16="http://schemas.microsoft.com/office/drawing/2014/chart" uri="{C3380CC4-5D6E-409C-BE32-E72D297353CC}">
              <c16:uniqueId val="{00000004-BAB3-4DD5-8962-39512E1CE848}"/>
            </c:ext>
          </c:extLst>
        </c:ser>
        <c:ser>
          <c:idx val="4"/>
          <c:order val="5"/>
          <c:tx>
            <c:strRef>
              <c:f>'Category (2020)'!$A$9</c:f>
              <c:strCache>
                <c:ptCount val="1"/>
                <c:pt idx="0">
                  <c:v>Tool Development</c:v>
                </c:pt>
              </c:strCache>
            </c:strRef>
          </c:tx>
          <c:spPr>
            <a:solidFill>
              <a:schemeClr val="accent5"/>
            </a:solidFill>
            <a:ln>
              <a:noFill/>
            </a:ln>
            <a:effectLst/>
          </c:spPr>
          <c:invertIfNegative val="0"/>
          <c:cat>
            <c:strLit>
              <c:ptCount val="3"/>
              <c:pt idx="0">
                <c:v>2018</c:v>
              </c:pt>
              <c:pt idx="1">
                <c:v>2019</c:v>
              </c:pt>
              <c:pt idx="2">
                <c:v>Proposed 2020</c:v>
              </c:pt>
            </c:strLit>
          </c:cat>
          <c:val>
            <c:numRef>
              <c:f>('Category (2020)'!$P$9,'Category (2020)'!$I$9,'Category (2020)'!$B$9)</c:f>
              <c:numCache>
                <c:formatCode>"$"#,##0_);\("$"#,##0\)</c:formatCode>
                <c:ptCount val="3"/>
                <c:pt idx="0">
                  <c:v>0</c:v>
                </c:pt>
                <c:pt idx="1">
                  <c:v>130000</c:v>
                </c:pt>
                <c:pt idx="2">
                  <c:v>0</c:v>
                </c:pt>
              </c:numCache>
            </c:numRef>
          </c:val>
          <c:extLst>
            <c:ext xmlns:c16="http://schemas.microsoft.com/office/drawing/2014/chart" uri="{C3380CC4-5D6E-409C-BE32-E72D297353CC}">
              <c16:uniqueId val="{00000005-BAB3-4DD5-8962-39512E1CE848}"/>
            </c:ext>
          </c:extLst>
        </c:ser>
        <c:ser>
          <c:idx val="3"/>
          <c:order val="6"/>
          <c:tx>
            <c:strRef>
              <c:f>'Category (2020)'!$A$8</c:f>
              <c:strCache>
                <c:ptCount val="1"/>
                <c:pt idx="0">
                  <c:v>Standardization of Technical Analysis</c:v>
                </c:pt>
              </c:strCache>
            </c:strRef>
          </c:tx>
          <c:spPr>
            <a:solidFill>
              <a:schemeClr val="accent4"/>
            </a:solidFill>
            <a:ln>
              <a:noFill/>
            </a:ln>
            <a:effectLst/>
          </c:spPr>
          <c:invertIfNegative val="0"/>
          <c:cat>
            <c:strLit>
              <c:ptCount val="3"/>
              <c:pt idx="0">
                <c:v>2018</c:v>
              </c:pt>
              <c:pt idx="1">
                <c:v>2019</c:v>
              </c:pt>
              <c:pt idx="2">
                <c:v>Proposed 2020</c:v>
              </c:pt>
            </c:strLit>
          </c:cat>
          <c:val>
            <c:numRef>
              <c:f>('Category (2020)'!$P$8,'Category (2020)'!$I$8,'Category (2020)'!$B$8)</c:f>
              <c:numCache>
                <c:formatCode>"$"#,##0_);\("$"#,##0\)</c:formatCode>
                <c:ptCount val="3"/>
                <c:pt idx="0">
                  <c:v>28500</c:v>
                </c:pt>
                <c:pt idx="1">
                  <c:v>23500</c:v>
                </c:pt>
                <c:pt idx="2">
                  <c:v>40000</c:v>
                </c:pt>
              </c:numCache>
            </c:numRef>
          </c:val>
          <c:extLst>
            <c:ext xmlns:c16="http://schemas.microsoft.com/office/drawing/2014/chart" uri="{C3380CC4-5D6E-409C-BE32-E72D297353CC}">
              <c16:uniqueId val="{00000006-BAB3-4DD5-8962-39512E1CE848}"/>
            </c:ext>
          </c:extLst>
        </c:ser>
        <c:ser>
          <c:idx val="2"/>
          <c:order val="7"/>
          <c:tx>
            <c:strRef>
              <c:f>'Category (2020)'!$A$7</c:f>
              <c:strCache>
                <c:ptCount val="1"/>
                <c:pt idx="0">
                  <c:v>New Measure Development</c:v>
                </c:pt>
              </c:strCache>
            </c:strRef>
          </c:tx>
          <c:spPr>
            <a:solidFill>
              <a:schemeClr val="accent3"/>
            </a:solidFill>
            <a:ln>
              <a:noFill/>
            </a:ln>
            <a:effectLst/>
          </c:spPr>
          <c:invertIfNegative val="0"/>
          <c:cat>
            <c:strLit>
              <c:ptCount val="3"/>
              <c:pt idx="0">
                <c:v>2018</c:v>
              </c:pt>
              <c:pt idx="1">
                <c:v>2019</c:v>
              </c:pt>
              <c:pt idx="2">
                <c:v>Proposed 2020</c:v>
              </c:pt>
            </c:strLit>
          </c:cat>
          <c:val>
            <c:numRef>
              <c:f>('Category (2020)'!$P$7,'Category (2020)'!$I$7,'Category (2020)'!$B$7)</c:f>
              <c:numCache>
                <c:formatCode>"$"#,##0_);\("$"#,##0\)</c:formatCode>
                <c:ptCount val="3"/>
                <c:pt idx="0">
                  <c:v>58000</c:v>
                </c:pt>
                <c:pt idx="1">
                  <c:v>41000</c:v>
                </c:pt>
                <c:pt idx="2">
                  <c:v>44000</c:v>
                </c:pt>
              </c:numCache>
            </c:numRef>
          </c:val>
          <c:extLst>
            <c:ext xmlns:c16="http://schemas.microsoft.com/office/drawing/2014/chart" uri="{C3380CC4-5D6E-409C-BE32-E72D297353CC}">
              <c16:uniqueId val="{00000007-BAB3-4DD5-8962-39512E1CE848}"/>
            </c:ext>
          </c:extLst>
        </c:ser>
        <c:ser>
          <c:idx val="1"/>
          <c:order val="8"/>
          <c:tx>
            <c:strRef>
              <c:f>'Category (2020)'!$A$6</c:f>
              <c:strCache>
                <c:ptCount val="1"/>
                <c:pt idx="0">
                  <c:v>Existing Measure Maintenance</c:v>
                </c:pt>
              </c:strCache>
            </c:strRef>
          </c:tx>
          <c:spPr>
            <a:solidFill>
              <a:schemeClr val="accent2"/>
            </a:solidFill>
            <a:ln>
              <a:noFill/>
            </a:ln>
            <a:effectLst/>
          </c:spPr>
          <c:invertIfNegative val="0"/>
          <c:cat>
            <c:strLit>
              <c:ptCount val="3"/>
              <c:pt idx="0">
                <c:v>2018</c:v>
              </c:pt>
              <c:pt idx="1">
                <c:v>2019</c:v>
              </c:pt>
              <c:pt idx="2">
                <c:v>Proposed 2020</c:v>
              </c:pt>
            </c:strLit>
          </c:cat>
          <c:val>
            <c:numRef>
              <c:f>('Category (2020)'!$P$6,'Category (2020)'!$I$6,'Category (2020)'!$B$6)</c:f>
              <c:numCache>
                <c:formatCode>"$"#,##0_);\("$"#,##0\)</c:formatCode>
                <c:ptCount val="3"/>
                <c:pt idx="0">
                  <c:v>76000</c:v>
                </c:pt>
                <c:pt idx="1">
                  <c:v>84000</c:v>
                </c:pt>
                <c:pt idx="2">
                  <c:v>92000</c:v>
                </c:pt>
              </c:numCache>
            </c:numRef>
          </c:val>
          <c:extLst>
            <c:ext xmlns:c16="http://schemas.microsoft.com/office/drawing/2014/chart" uri="{C3380CC4-5D6E-409C-BE32-E72D297353CC}">
              <c16:uniqueId val="{00000008-BAB3-4DD5-8962-39512E1CE848}"/>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3-Year RTF Contract RFP Allocations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9"/>
          <c:order val="0"/>
          <c:tx>
            <c:strRef>
              <c:f>'Category (2020)'!$A$14</c:f>
              <c:strCache>
                <c:ptCount val="1"/>
                <c:pt idx="0">
                  <c:v>RTF Management</c:v>
                </c:pt>
              </c:strCache>
            </c:strRef>
          </c:tx>
          <c:spPr>
            <a:solidFill>
              <a:schemeClr val="accent4">
                <a:lumMod val="60000"/>
              </a:schemeClr>
            </a:solidFill>
            <a:ln>
              <a:noFill/>
            </a:ln>
            <a:effectLst/>
          </c:spPr>
          <c:invertIfNegative val="0"/>
          <c:cat>
            <c:strLit>
              <c:ptCount val="3"/>
              <c:pt idx="0">
                <c:v>2018</c:v>
              </c:pt>
              <c:pt idx="1">
                <c:v>2019</c:v>
              </c:pt>
              <c:pt idx="2">
                <c:v>Proposed 2020</c:v>
              </c:pt>
            </c:strLit>
          </c:cat>
          <c:val>
            <c:numRef>
              <c:f>('Category (2020)'!$Q$14,'Category (2020)'!$J$14,'Category (2020)'!$C$14)</c:f>
              <c:numCache>
                <c:formatCode>"$"#,##0_);\("$"#,##0\)</c:formatCode>
                <c:ptCount val="3"/>
                <c:pt idx="0">
                  <c:v>0</c:v>
                </c:pt>
                <c:pt idx="1">
                  <c:v>0</c:v>
                </c:pt>
                <c:pt idx="2">
                  <c:v>0</c:v>
                </c:pt>
              </c:numCache>
            </c:numRef>
          </c:val>
          <c:extLst>
            <c:ext xmlns:c16="http://schemas.microsoft.com/office/drawing/2014/chart" uri="{C3380CC4-5D6E-409C-BE32-E72D297353CC}">
              <c16:uniqueId val="{00000000-1111-4A7D-A87E-8383EC9E0BC7}"/>
            </c:ext>
          </c:extLst>
        </c:ser>
        <c:ser>
          <c:idx val="8"/>
          <c:order val="1"/>
          <c:tx>
            <c:strRef>
              <c:f>'Category (2020)'!$A$13</c:f>
              <c:strCache>
                <c:ptCount val="1"/>
                <c:pt idx="0">
                  <c:v>RTF Meeting Support</c:v>
                </c:pt>
              </c:strCache>
            </c:strRef>
          </c:tx>
          <c:spPr>
            <a:solidFill>
              <a:schemeClr val="accent3">
                <a:lumMod val="60000"/>
              </a:schemeClr>
            </a:solidFill>
            <a:ln>
              <a:noFill/>
            </a:ln>
            <a:effectLst/>
          </c:spPr>
          <c:invertIfNegative val="0"/>
          <c:cat>
            <c:strLit>
              <c:ptCount val="3"/>
              <c:pt idx="0">
                <c:v>2018</c:v>
              </c:pt>
              <c:pt idx="1">
                <c:v>2019</c:v>
              </c:pt>
              <c:pt idx="2">
                <c:v>Proposed 2020</c:v>
              </c:pt>
            </c:strLit>
          </c:cat>
          <c:val>
            <c:numRef>
              <c:f>('Category (2020)'!$Q$13,'Category (2020)'!$J$13,'Category (2020)'!$C$13)</c:f>
              <c:numCache>
                <c:formatCode>"$"#,##0_);\("$"#,##0\)</c:formatCode>
                <c:ptCount val="3"/>
                <c:pt idx="0">
                  <c:v>75000</c:v>
                </c:pt>
                <c:pt idx="1">
                  <c:v>90000</c:v>
                </c:pt>
                <c:pt idx="2">
                  <c:v>113000</c:v>
                </c:pt>
              </c:numCache>
            </c:numRef>
          </c:val>
          <c:extLst>
            <c:ext xmlns:c16="http://schemas.microsoft.com/office/drawing/2014/chart" uri="{C3380CC4-5D6E-409C-BE32-E72D297353CC}">
              <c16:uniqueId val="{00000001-1111-4A7D-A87E-8383EC9E0BC7}"/>
            </c:ext>
          </c:extLst>
        </c:ser>
        <c:ser>
          <c:idx val="7"/>
          <c:order val="2"/>
          <c:tx>
            <c:strRef>
              <c:f>'Category (2020)'!$A$12</c:f>
              <c:strCache>
                <c:ptCount val="1"/>
                <c:pt idx="0">
                  <c:v>Website and Regional Conservation Progress</c:v>
                </c:pt>
              </c:strCache>
            </c:strRef>
          </c:tx>
          <c:spPr>
            <a:solidFill>
              <a:schemeClr val="accent2">
                <a:lumMod val="60000"/>
              </a:schemeClr>
            </a:solidFill>
            <a:ln>
              <a:noFill/>
            </a:ln>
            <a:effectLst/>
          </c:spPr>
          <c:invertIfNegative val="0"/>
          <c:cat>
            <c:strLit>
              <c:ptCount val="3"/>
              <c:pt idx="0">
                <c:v>2018</c:v>
              </c:pt>
              <c:pt idx="1">
                <c:v>2019</c:v>
              </c:pt>
              <c:pt idx="2">
                <c:v>Proposed 2020</c:v>
              </c:pt>
            </c:strLit>
          </c:cat>
          <c:val>
            <c:numRef>
              <c:f>('Category (2020)'!$Q$12,'Category (2020)'!$J$12,'Category (2020)'!$C$12)</c:f>
              <c:numCache>
                <c:formatCode>"$"#,##0_);\("$"#,##0\)</c:formatCode>
                <c:ptCount val="3"/>
                <c:pt idx="0">
                  <c:v>10000</c:v>
                </c:pt>
                <c:pt idx="1">
                  <c:v>5000</c:v>
                </c:pt>
                <c:pt idx="2">
                  <c:v>0</c:v>
                </c:pt>
              </c:numCache>
            </c:numRef>
          </c:val>
          <c:extLst>
            <c:ext xmlns:c16="http://schemas.microsoft.com/office/drawing/2014/chart" uri="{C3380CC4-5D6E-409C-BE32-E72D297353CC}">
              <c16:uniqueId val="{00000002-1111-4A7D-A87E-8383EC9E0BC7}"/>
            </c:ext>
          </c:extLst>
        </c:ser>
        <c:ser>
          <c:idx val="6"/>
          <c:order val="3"/>
          <c:tx>
            <c:strRef>
              <c:f>'Category (2020)'!$A$11</c:f>
              <c:strCache>
                <c:ptCount val="1"/>
                <c:pt idx="0">
                  <c:v>Demand Response</c:v>
                </c:pt>
              </c:strCache>
            </c:strRef>
          </c:tx>
          <c:spPr>
            <a:solidFill>
              <a:schemeClr val="accent1">
                <a:lumMod val="60000"/>
              </a:schemeClr>
            </a:solidFill>
            <a:ln>
              <a:noFill/>
            </a:ln>
            <a:effectLst/>
          </c:spPr>
          <c:invertIfNegative val="0"/>
          <c:cat>
            <c:strLit>
              <c:ptCount val="3"/>
              <c:pt idx="0">
                <c:v>2018</c:v>
              </c:pt>
              <c:pt idx="1">
                <c:v>2019</c:v>
              </c:pt>
              <c:pt idx="2">
                <c:v>Proposed 2020</c:v>
              </c:pt>
            </c:strLit>
          </c:cat>
          <c:val>
            <c:numRef>
              <c:f>('Category (2020)'!$Q$11,'Category (2020)'!$J$11,'Category (2020)'!$C$11)</c:f>
              <c:numCache>
                <c:formatCode>"$"#,##0_);\("$"#,##0\)</c:formatCode>
                <c:ptCount val="3"/>
                <c:pt idx="0">
                  <c:v>0</c:v>
                </c:pt>
                <c:pt idx="1">
                  <c:v>93000</c:v>
                </c:pt>
                <c:pt idx="2">
                  <c:v>10000</c:v>
                </c:pt>
              </c:numCache>
            </c:numRef>
          </c:val>
          <c:extLst>
            <c:ext xmlns:c16="http://schemas.microsoft.com/office/drawing/2014/chart" uri="{C3380CC4-5D6E-409C-BE32-E72D297353CC}">
              <c16:uniqueId val="{00000003-1111-4A7D-A87E-8383EC9E0BC7}"/>
            </c:ext>
          </c:extLst>
        </c:ser>
        <c:ser>
          <c:idx val="5"/>
          <c:order val="4"/>
          <c:tx>
            <c:strRef>
              <c:f>'Category (2020)'!$A$10</c:f>
              <c:strCache>
                <c:ptCount val="1"/>
                <c:pt idx="0">
                  <c:v>Regional Coordination</c:v>
                </c:pt>
              </c:strCache>
            </c:strRef>
          </c:tx>
          <c:spPr>
            <a:solidFill>
              <a:schemeClr val="accent6"/>
            </a:solidFill>
            <a:ln>
              <a:noFill/>
            </a:ln>
            <a:effectLst/>
          </c:spPr>
          <c:invertIfNegative val="0"/>
          <c:cat>
            <c:strLit>
              <c:ptCount val="3"/>
              <c:pt idx="0">
                <c:v>2018</c:v>
              </c:pt>
              <c:pt idx="1">
                <c:v>2019</c:v>
              </c:pt>
              <c:pt idx="2">
                <c:v>Proposed 2020</c:v>
              </c:pt>
            </c:strLit>
          </c:cat>
          <c:val>
            <c:numRef>
              <c:f>('Category (2020)'!$Q$10,'Category (2020)'!$J$10,'Category (2020)'!$C$10)</c:f>
              <c:numCache>
                <c:formatCode>"$"#,##0_);\("$"#,##0\)</c:formatCode>
                <c:ptCount val="3"/>
                <c:pt idx="0">
                  <c:v>215000</c:v>
                </c:pt>
                <c:pt idx="1">
                  <c:v>130000</c:v>
                </c:pt>
                <c:pt idx="2">
                  <c:v>155000</c:v>
                </c:pt>
              </c:numCache>
            </c:numRef>
          </c:val>
          <c:extLst>
            <c:ext xmlns:c16="http://schemas.microsoft.com/office/drawing/2014/chart" uri="{C3380CC4-5D6E-409C-BE32-E72D297353CC}">
              <c16:uniqueId val="{00000004-1111-4A7D-A87E-8383EC9E0BC7}"/>
            </c:ext>
          </c:extLst>
        </c:ser>
        <c:ser>
          <c:idx val="4"/>
          <c:order val="5"/>
          <c:tx>
            <c:strRef>
              <c:f>'Category (2020)'!$A$9</c:f>
              <c:strCache>
                <c:ptCount val="1"/>
                <c:pt idx="0">
                  <c:v>Tool Development</c:v>
                </c:pt>
              </c:strCache>
            </c:strRef>
          </c:tx>
          <c:spPr>
            <a:solidFill>
              <a:schemeClr val="accent5"/>
            </a:solidFill>
            <a:ln>
              <a:noFill/>
            </a:ln>
            <a:effectLst/>
          </c:spPr>
          <c:invertIfNegative val="0"/>
          <c:cat>
            <c:strLit>
              <c:ptCount val="3"/>
              <c:pt idx="0">
                <c:v>2018</c:v>
              </c:pt>
              <c:pt idx="1">
                <c:v>2019</c:v>
              </c:pt>
              <c:pt idx="2">
                <c:v>Proposed 2020</c:v>
              </c:pt>
            </c:strLit>
          </c:cat>
          <c:val>
            <c:numRef>
              <c:f>('Category (2020)'!$Q$9,'Category (2020)'!$J$9,'Category (2020)'!$C$9)</c:f>
              <c:numCache>
                <c:formatCode>"$"#,##0_);\("$"#,##0\)</c:formatCode>
                <c:ptCount val="3"/>
                <c:pt idx="0">
                  <c:v>50000</c:v>
                </c:pt>
                <c:pt idx="1">
                  <c:v>151400</c:v>
                </c:pt>
                <c:pt idx="2">
                  <c:v>120000</c:v>
                </c:pt>
              </c:numCache>
            </c:numRef>
          </c:val>
          <c:extLst>
            <c:ext xmlns:c16="http://schemas.microsoft.com/office/drawing/2014/chart" uri="{C3380CC4-5D6E-409C-BE32-E72D297353CC}">
              <c16:uniqueId val="{00000005-1111-4A7D-A87E-8383EC9E0BC7}"/>
            </c:ext>
          </c:extLst>
        </c:ser>
        <c:ser>
          <c:idx val="3"/>
          <c:order val="6"/>
          <c:tx>
            <c:strRef>
              <c:f>'Category (2020)'!$A$8</c:f>
              <c:strCache>
                <c:ptCount val="1"/>
                <c:pt idx="0">
                  <c:v>Standardization of Technical Analysis</c:v>
                </c:pt>
              </c:strCache>
            </c:strRef>
          </c:tx>
          <c:spPr>
            <a:solidFill>
              <a:schemeClr val="accent4"/>
            </a:solidFill>
            <a:ln>
              <a:noFill/>
            </a:ln>
            <a:effectLst/>
          </c:spPr>
          <c:invertIfNegative val="0"/>
          <c:cat>
            <c:strLit>
              <c:ptCount val="3"/>
              <c:pt idx="0">
                <c:v>2018</c:v>
              </c:pt>
              <c:pt idx="1">
                <c:v>2019</c:v>
              </c:pt>
              <c:pt idx="2">
                <c:v>Proposed 2020</c:v>
              </c:pt>
            </c:strLit>
          </c:cat>
          <c:val>
            <c:numRef>
              <c:f>('Category (2020)'!$Q$8,'Category (2020)'!$J$8,'Category (2020)'!$C$8)</c:f>
              <c:numCache>
                <c:formatCode>"$"#,##0_);\("$"#,##0\)</c:formatCode>
                <c:ptCount val="3"/>
                <c:pt idx="0">
                  <c:v>165000</c:v>
                </c:pt>
                <c:pt idx="1">
                  <c:v>210000</c:v>
                </c:pt>
                <c:pt idx="2">
                  <c:v>230000</c:v>
                </c:pt>
              </c:numCache>
            </c:numRef>
          </c:val>
          <c:extLst>
            <c:ext xmlns:c16="http://schemas.microsoft.com/office/drawing/2014/chart" uri="{C3380CC4-5D6E-409C-BE32-E72D297353CC}">
              <c16:uniqueId val="{00000006-1111-4A7D-A87E-8383EC9E0BC7}"/>
            </c:ext>
          </c:extLst>
        </c:ser>
        <c:ser>
          <c:idx val="2"/>
          <c:order val="7"/>
          <c:tx>
            <c:strRef>
              <c:f>'Category (2020)'!$A$7</c:f>
              <c:strCache>
                <c:ptCount val="1"/>
                <c:pt idx="0">
                  <c:v>New Measure Development</c:v>
                </c:pt>
              </c:strCache>
            </c:strRef>
          </c:tx>
          <c:spPr>
            <a:solidFill>
              <a:schemeClr val="accent3"/>
            </a:solidFill>
            <a:ln>
              <a:noFill/>
            </a:ln>
            <a:effectLst/>
          </c:spPr>
          <c:invertIfNegative val="0"/>
          <c:cat>
            <c:strLit>
              <c:ptCount val="3"/>
              <c:pt idx="0">
                <c:v>2018</c:v>
              </c:pt>
              <c:pt idx="1">
                <c:v>2019</c:v>
              </c:pt>
              <c:pt idx="2">
                <c:v>Proposed 2020</c:v>
              </c:pt>
            </c:strLit>
          </c:cat>
          <c:val>
            <c:numRef>
              <c:f>('Category (2020)'!$Q$7,'Category (2020)'!$J$7,'Category (2020)'!$C$7)</c:f>
              <c:numCache>
                <c:formatCode>"$"#,##0_);\("$"#,##0\)</c:formatCode>
                <c:ptCount val="3"/>
                <c:pt idx="0">
                  <c:v>286000</c:v>
                </c:pt>
                <c:pt idx="1">
                  <c:v>223000</c:v>
                </c:pt>
                <c:pt idx="2">
                  <c:v>220000</c:v>
                </c:pt>
              </c:numCache>
            </c:numRef>
          </c:val>
          <c:extLst>
            <c:ext xmlns:c16="http://schemas.microsoft.com/office/drawing/2014/chart" uri="{C3380CC4-5D6E-409C-BE32-E72D297353CC}">
              <c16:uniqueId val="{00000007-1111-4A7D-A87E-8383EC9E0BC7}"/>
            </c:ext>
          </c:extLst>
        </c:ser>
        <c:ser>
          <c:idx val="1"/>
          <c:order val="8"/>
          <c:tx>
            <c:strRef>
              <c:f>'Category (2020)'!$A$6</c:f>
              <c:strCache>
                <c:ptCount val="1"/>
                <c:pt idx="0">
                  <c:v>Existing Measure Maintenance</c:v>
                </c:pt>
              </c:strCache>
            </c:strRef>
          </c:tx>
          <c:spPr>
            <a:solidFill>
              <a:schemeClr val="accent2"/>
            </a:solidFill>
            <a:ln>
              <a:noFill/>
            </a:ln>
            <a:effectLst/>
          </c:spPr>
          <c:invertIfNegative val="0"/>
          <c:cat>
            <c:strLit>
              <c:ptCount val="3"/>
              <c:pt idx="0">
                <c:v>2018</c:v>
              </c:pt>
              <c:pt idx="1">
                <c:v>2019</c:v>
              </c:pt>
              <c:pt idx="2">
                <c:v>Proposed 2020</c:v>
              </c:pt>
            </c:strLit>
          </c:cat>
          <c:val>
            <c:numRef>
              <c:f>('Category (2020)'!$Q$6,'Category (2020)'!$J$6,'Category (2020)'!$C$6)</c:f>
              <c:numCache>
                <c:formatCode>"$"#,##0_);\("$"#,##0\)</c:formatCode>
                <c:ptCount val="3"/>
                <c:pt idx="0">
                  <c:v>391000</c:v>
                </c:pt>
                <c:pt idx="1">
                  <c:v>292000</c:v>
                </c:pt>
                <c:pt idx="2">
                  <c:v>345000</c:v>
                </c:pt>
              </c:numCache>
            </c:numRef>
          </c:val>
          <c:extLst>
            <c:ext xmlns:c16="http://schemas.microsoft.com/office/drawing/2014/chart" uri="{C3380CC4-5D6E-409C-BE32-E72D297353CC}">
              <c16:uniqueId val="{00000008-1111-4A7D-A87E-8383EC9E0BC7}"/>
            </c:ext>
          </c:extLst>
        </c:ser>
        <c:dLbls>
          <c:showLegendKey val="0"/>
          <c:showVal val="0"/>
          <c:showCatName val="0"/>
          <c:showSerName val="0"/>
          <c:showPercent val="0"/>
          <c:showBubbleSize val="0"/>
        </c:dLbls>
        <c:gapWidth val="55"/>
        <c:overlap val="100"/>
        <c:axId val="783192104"/>
        <c:axId val="783192432"/>
      </c:barChart>
      <c:catAx>
        <c:axId val="78319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83192432"/>
        <c:crosses val="autoZero"/>
        <c:auto val="1"/>
        <c:lblAlgn val="ctr"/>
        <c:lblOffset val="100"/>
        <c:noMultiLvlLbl val="0"/>
      </c:catAx>
      <c:valAx>
        <c:axId val="78319243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83192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2018</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FA-40B6-B6EE-6FABD90CD1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FA-40B6-B6EE-6FABD90CD1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6DE-4D20-BCEA-7FCB3FC2AD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FA-40B6-B6EE-6FABD90CD1BE}"/>
              </c:ext>
            </c:extLst>
          </c:dPt>
          <c:dLbls>
            <c:dLbl>
              <c:idx val="2"/>
              <c:delete val="1"/>
              <c:extLst>
                <c:ext xmlns:c15="http://schemas.microsoft.com/office/drawing/2012/chart" uri="{CE6537A1-D6FC-4f65-9D91-7224C49458BB}"/>
                <c:ext xmlns:c16="http://schemas.microsoft.com/office/drawing/2014/chart" uri="{C3380CC4-5D6E-409C-BE32-E72D297353CC}">
                  <c16:uniqueId val="{00000001-26DE-4D20-BCEA-7FCB3FC2ADEE}"/>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(2020)'!$W$6:$W$9</c:f>
              <c:strCache>
                <c:ptCount val="4"/>
                <c:pt idx="0">
                  <c:v>Technical Analysis</c:v>
                </c:pt>
                <c:pt idx="1">
                  <c:v>Tool Development and Regional Coordination </c:v>
                </c:pt>
                <c:pt idx="2">
                  <c:v>Demand Response</c:v>
                </c:pt>
                <c:pt idx="3">
                  <c:v>Administration</c:v>
                </c:pt>
              </c:strCache>
            </c:strRef>
          </c:cat>
          <c:val>
            <c:numRef>
              <c:f>'Category (2020)'!$AB$6:$AB$9</c:f>
              <c:numCache>
                <c:formatCode>0%</c:formatCode>
                <c:ptCount val="4"/>
                <c:pt idx="0">
                  <c:v>0.54779953100289036</c:v>
                </c:pt>
                <c:pt idx="1">
                  <c:v>0.18269073458035665</c:v>
                </c:pt>
                <c:pt idx="2">
                  <c:v>0</c:v>
                </c:pt>
                <c:pt idx="3">
                  <c:v>0.26950973441675302</c:v>
                </c:pt>
              </c:numCache>
            </c:numRef>
          </c:val>
          <c:extLst>
            <c:ext xmlns:c16="http://schemas.microsoft.com/office/drawing/2014/chart" uri="{C3380CC4-5D6E-409C-BE32-E72D297353CC}">
              <c16:uniqueId val="{00000000-26DE-4D20-BCEA-7FCB3FC2ADEE}"/>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2019</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19-4A4D-8139-4A31CA530A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019-4A4D-8139-4A31CA530A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72D-4520-AA27-26E1AA03FD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019-4A4D-8139-4A31CA530A07}"/>
              </c:ext>
            </c:extLst>
          </c:dPt>
          <c:dLbls>
            <c:dLbl>
              <c:idx val="2"/>
              <c:layout>
                <c:manualLayout>
                  <c:x val="7.7175196850393646E-2"/>
                  <c:y val="-3.417723826188410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D-4520-AA27-26E1AA03FD6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(2020)'!$W$6:$W$9</c:f>
              <c:strCache>
                <c:ptCount val="4"/>
                <c:pt idx="0">
                  <c:v>Technical Analysis</c:v>
                </c:pt>
                <c:pt idx="1">
                  <c:v>Tool Development and Regional Coordination </c:v>
                </c:pt>
                <c:pt idx="2">
                  <c:v>Demand Response</c:v>
                </c:pt>
                <c:pt idx="3">
                  <c:v>Administration</c:v>
                </c:pt>
              </c:strCache>
            </c:strRef>
          </c:cat>
          <c:val>
            <c:numRef>
              <c:f>'Category (2020)'!$AG$6:$AG$9</c:f>
              <c:numCache>
                <c:formatCode>0%</c:formatCode>
                <c:ptCount val="4"/>
                <c:pt idx="0">
                  <c:v>0.46581697952218432</c:v>
                </c:pt>
                <c:pt idx="1">
                  <c:v>0.21938993174061433</c:v>
                </c:pt>
                <c:pt idx="2">
                  <c:v>4.9594709897610924E-2</c:v>
                </c:pt>
                <c:pt idx="3">
                  <c:v>0.26519837883959047</c:v>
                </c:pt>
              </c:numCache>
            </c:numRef>
          </c:val>
          <c:extLst>
            <c:ext xmlns:c16="http://schemas.microsoft.com/office/drawing/2014/chart" uri="{C3380CC4-5D6E-409C-BE32-E72D297353CC}">
              <c16:uniqueId val="{00000000-272D-4520-AA27-26E1AA03FD6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tx>
            <c:v>Proposed 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0A-47D8-A76E-825851EADF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0A-47D8-A76E-825851EADF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1B69-49CB-AE33-22F9FE8F4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0A-47D8-A76E-825851EADFEE}"/>
              </c:ext>
            </c:extLst>
          </c:dPt>
          <c:dLbls>
            <c:dLbl>
              <c:idx val="2"/>
              <c:layout>
                <c:manualLayout>
                  <c:x val="-2.5424385588165115E-2"/>
                  <c:y val="-7.430200291755869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9-49CB-AE33-22F9FE8F4F50}"/>
                </c:ext>
              </c:extLst>
            </c:dLbl>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 (2020)'!$W$6:$W$9</c:f>
              <c:strCache>
                <c:ptCount val="4"/>
                <c:pt idx="0">
                  <c:v>Technical Analysis</c:v>
                </c:pt>
                <c:pt idx="1">
                  <c:v>Tool Development and Regional Coordination </c:v>
                </c:pt>
                <c:pt idx="2">
                  <c:v>Demand Response</c:v>
                </c:pt>
                <c:pt idx="3">
                  <c:v>Administration</c:v>
                </c:pt>
              </c:strCache>
            </c:strRef>
          </c:cat>
          <c:val>
            <c:numRef>
              <c:f>'Category (2020)'!$AL$6:$AL$9</c:f>
              <c:numCache>
                <c:formatCode>0%</c:formatCode>
                <c:ptCount val="4"/>
                <c:pt idx="0">
                  <c:v>0.53944444444444439</c:v>
                </c:pt>
                <c:pt idx="1">
                  <c:v>0.15277777777777779</c:v>
                </c:pt>
                <c:pt idx="2">
                  <c:v>2.7777777777777776E-2</c:v>
                </c:pt>
                <c:pt idx="3">
                  <c:v>0.28000000000000003</c:v>
                </c:pt>
              </c:numCache>
            </c:numRef>
          </c:val>
          <c:extLst>
            <c:ext xmlns:c16="http://schemas.microsoft.com/office/drawing/2014/chart" uri="{C3380CC4-5D6E-409C-BE32-E72D297353CC}">
              <c16:uniqueId val="{00000000-1B69-49CB-AE33-22F9FE8F4F50}"/>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27214</xdr:colOff>
      <xdr:row>158</xdr:row>
      <xdr:rowOff>163286</xdr:rowOff>
    </xdr:from>
    <xdr:to>
      <xdr:col>12</xdr:col>
      <xdr:colOff>569179</xdr:colOff>
      <xdr:row>193</xdr:row>
      <xdr:rowOff>1361</xdr:rowOff>
    </xdr:to>
    <xdr:graphicFrame macro="">
      <xdr:nvGraphicFramePr>
        <xdr:cNvPr id="10" name="Chart 9">
          <a:extLst>
            <a:ext uri="{FF2B5EF4-FFF2-40B4-BE49-F238E27FC236}">
              <a16:creationId xmlns:a16="http://schemas.microsoft.com/office/drawing/2014/main" id="{8B2CD868-B993-4787-A589-90AF21367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195</xdr:row>
      <xdr:rowOff>0</xdr:rowOff>
    </xdr:from>
    <xdr:to>
      <xdr:col>13</xdr:col>
      <xdr:colOff>1682</xdr:colOff>
      <xdr:row>229</xdr:row>
      <xdr:rowOff>28575</xdr:rowOff>
    </xdr:to>
    <xdr:graphicFrame macro="">
      <xdr:nvGraphicFramePr>
        <xdr:cNvPr id="11" name="Chart 10">
          <a:extLst>
            <a:ext uri="{FF2B5EF4-FFF2-40B4-BE49-F238E27FC236}">
              <a16:creationId xmlns:a16="http://schemas.microsoft.com/office/drawing/2014/main" id="{6064524B-D362-46FF-A14B-9170F89F9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230</xdr:row>
      <xdr:rowOff>0</xdr:rowOff>
    </xdr:from>
    <xdr:to>
      <xdr:col>13</xdr:col>
      <xdr:colOff>1682</xdr:colOff>
      <xdr:row>264</xdr:row>
      <xdr:rowOff>28575</xdr:rowOff>
    </xdr:to>
    <xdr:graphicFrame macro="">
      <xdr:nvGraphicFramePr>
        <xdr:cNvPr id="12" name="Chart 11">
          <a:extLst>
            <a:ext uri="{FF2B5EF4-FFF2-40B4-BE49-F238E27FC236}">
              <a16:creationId xmlns:a16="http://schemas.microsoft.com/office/drawing/2014/main" id="{FA7A5754-6E25-4A82-BEDE-106A8B88B8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16</xdr:row>
      <xdr:rowOff>42861</xdr:rowOff>
    </xdr:from>
    <xdr:to>
      <xdr:col>10</xdr:col>
      <xdr:colOff>200025</xdr:colOff>
      <xdr:row>45</xdr:row>
      <xdr:rowOff>76199</xdr:rowOff>
    </xdr:to>
    <xdr:graphicFrame macro="">
      <xdr:nvGraphicFramePr>
        <xdr:cNvPr id="13" name="Chart 12">
          <a:extLst>
            <a:ext uri="{FF2B5EF4-FFF2-40B4-BE49-F238E27FC236}">
              <a16:creationId xmlns:a16="http://schemas.microsoft.com/office/drawing/2014/main" id="{473DBDB6-3B6E-410D-82AA-D34074D7D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47</xdr:row>
      <xdr:rowOff>47625</xdr:rowOff>
    </xdr:from>
    <xdr:to>
      <xdr:col>10</xdr:col>
      <xdr:colOff>219076</xdr:colOff>
      <xdr:row>76</xdr:row>
      <xdr:rowOff>80963</xdr:rowOff>
    </xdr:to>
    <xdr:graphicFrame macro="">
      <xdr:nvGraphicFramePr>
        <xdr:cNvPr id="15" name="Chart 14">
          <a:extLst>
            <a:ext uri="{FF2B5EF4-FFF2-40B4-BE49-F238E27FC236}">
              <a16:creationId xmlns:a16="http://schemas.microsoft.com/office/drawing/2014/main" id="{9DF4C644-745E-4CFC-AE13-35E6C9D6A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78</xdr:row>
      <xdr:rowOff>9525</xdr:rowOff>
    </xdr:from>
    <xdr:to>
      <xdr:col>10</xdr:col>
      <xdr:colOff>285751</xdr:colOff>
      <xdr:row>107</xdr:row>
      <xdr:rowOff>42863</xdr:rowOff>
    </xdr:to>
    <xdr:graphicFrame macro="">
      <xdr:nvGraphicFramePr>
        <xdr:cNvPr id="16" name="Chart 15">
          <a:extLst>
            <a:ext uri="{FF2B5EF4-FFF2-40B4-BE49-F238E27FC236}">
              <a16:creationId xmlns:a16="http://schemas.microsoft.com/office/drawing/2014/main" id="{6792626A-9528-432A-9987-A4D29A4D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9525</xdr:colOff>
      <xdr:row>10</xdr:row>
      <xdr:rowOff>147637</xdr:rowOff>
    </xdr:from>
    <xdr:to>
      <xdr:col>27</xdr:col>
      <xdr:colOff>28575</xdr:colOff>
      <xdr:row>17</xdr:row>
      <xdr:rowOff>109537</xdr:rowOff>
    </xdr:to>
    <xdr:graphicFrame macro="">
      <xdr:nvGraphicFramePr>
        <xdr:cNvPr id="19" name="Chart 18">
          <a:extLst>
            <a:ext uri="{FF2B5EF4-FFF2-40B4-BE49-F238E27FC236}">
              <a16:creationId xmlns:a16="http://schemas.microsoft.com/office/drawing/2014/main" id="{CFE1A25E-FAE9-45BC-BA3F-F962DB3497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152400</xdr:colOff>
      <xdr:row>10</xdr:row>
      <xdr:rowOff>128587</xdr:rowOff>
    </xdr:from>
    <xdr:to>
      <xdr:col>32</xdr:col>
      <xdr:colOff>438150</xdr:colOff>
      <xdr:row>17</xdr:row>
      <xdr:rowOff>90487</xdr:rowOff>
    </xdr:to>
    <xdr:graphicFrame macro="">
      <xdr:nvGraphicFramePr>
        <xdr:cNvPr id="20" name="Chart 19">
          <a:extLst>
            <a:ext uri="{FF2B5EF4-FFF2-40B4-BE49-F238E27FC236}">
              <a16:creationId xmlns:a16="http://schemas.microsoft.com/office/drawing/2014/main" id="{21FA0B5C-119C-4B58-903F-FD4A5549E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32</xdr:col>
      <xdr:colOff>581025</xdr:colOff>
      <xdr:row>10</xdr:row>
      <xdr:rowOff>119061</xdr:rowOff>
    </xdr:from>
    <xdr:to>
      <xdr:col>38</xdr:col>
      <xdr:colOff>828675</xdr:colOff>
      <xdr:row>22</xdr:row>
      <xdr:rowOff>152399</xdr:rowOff>
    </xdr:to>
    <xdr:graphicFrame macro="">
      <xdr:nvGraphicFramePr>
        <xdr:cNvPr id="21" name="Chart 20">
          <a:extLst>
            <a:ext uri="{FF2B5EF4-FFF2-40B4-BE49-F238E27FC236}">
              <a16:creationId xmlns:a16="http://schemas.microsoft.com/office/drawing/2014/main" id="{950D4527-D129-4810-B1F7-474841105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16</xdr:row>
      <xdr:rowOff>176211</xdr:rowOff>
    </xdr:from>
    <xdr:to>
      <xdr:col>13</xdr:col>
      <xdr:colOff>800100</xdr:colOff>
      <xdr:row>29</xdr:row>
      <xdr:rowOff>114299</xdr:rowOff>
    </xdr:to>
    <xdr:graphicFrame macro="">
      <xdr:nvGraphicFramePr>
        <xdr:cNvPr id="2" name="Chart 1">
          <a:extLst>
            <a:ext uri="{FF2B5EF4-FFF2-40B4-BE49-F238E27FC236}">
              <a16:creationId xmlns:a16="http://schemas.microsoft.com/office/drawing/2014/main" id="{B17EB944-8150-4271-B040-812F2766C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xdr:colOff>
      <xdr:row>31</xdr:row>
      <xdr:rowOff>85725</xdr:rowOff>
    </xdr:from>
    <xdr:to>
      <xdr:col>13</xdr:col>
      <xdr:colOff>819150</xdr:colOff>
      <xdr:row>46</xdr:row>
      <xdr:rowOff>23813</xdr:rowOff>
    </xdr:to>
    <xdr:graphicFrame macro="">
      <xdr:nvGraphicFramePr>
        <xdr:cNvPr id="3" name="Chart 2">
          <a:extLst>
            <a:ext uri="{FF2B5EF4-FFF2-40B4-BE49-F238E27FC236}">
              <a16:creationId xmlns:a16="http://schemas.microsoft.com/office/drawing/2014/main" id="{38684753-29C3-499F-A105-BAB06C192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133350</xdr:colOff>
      <xdr:row>47</xdr:row>
      <xdr:rowOff>14287</xdr:rowOff>
    </xdr:from>
    <xdr:to>
      <xdr:col>13</xdr:col>
      <xdr:colOff>828675</xdr:colOff>
      <xdr:row>60</xdr:row>
      <xdr:rowOff>195262</xdr:rowOff>
    </xdr:to>
    <xdr:graphicFrame macro="">
      <xdr:nvGraphicFramePr>
        <xdr:cNvPr id="4" name="Chart 3">
          <a:extLst>
            <a:ext uri="{FF2B5EF4-FFF2-40B4-BE49-F238E27FC236}">
              <a16:creationId xmlns:a16="http://schemas.microsoft.com/office/drawing/2014/main" id="{6DFD1AAD-1D38-4213-A968-350FA958E0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17</xdr:row>
      <xdr:rowOff>9524</xdr:rowOff>
    </xdr:from>
    <xdr:to>
      <xdr:col>20</xdr:col>
      <xdr:colOff>704850</xdr:colOff>
      <xdr:row>29</xdr:row>
      <xdr:rowOff>152399</xdr:rowOff>
    </xdr:to>
    <xdr:graphicFrame macro="">
      <xdr:nvGraphicFramePr>
        <xdr:cNvPr id="5" name="Chart 4">
          <a:extLst>
            <a:ext uri="{FF2B5EF4-FFF2-40B4-BE49-F238E27FC236}">
              <a16:creationId xmlns:a16="http://schemas.microsoft.com/office/drawing/2014/main" id="{EF2E3694-C692-4692-8812-7849BCE6E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TF/Administrative/Accounting/2020+/051719DraftFundingLevels-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alysis"/>
      <sheetName val="Table of Contents"/>
      <sheetName val="Category (2020)"/>
      <sheetName val="Category Detail (ALL)"/>
      <sheetName val="Combined 2020-2024"/>
      <sheetName val="Category 2020-2024 (ELECTRIC)"/>
      <sheetName val="Category 2020-2024 (GAS)"/>
      <sheetName val="Funding Shares (Combined)"/>
      <sheetName val="Measure Analysis"/>
      <sheetName val="Analytical Support (Tools, etc)"/>
      <sheetName val="NPCC In Kind"/>
      <sheetName val="Measure Timing"/>
      <sheetName val="Typical Rates"/>
    </sheetNames>
    <sheetDataSet>
      <sheetData sheetId="0" refreshError="1"/>
      <sheetData sheetId="1" refreshError="1"/>
      <sheetData sheetId="2">
        <row r="6">
          <cell r="B6" t="str">
            <v>Existing Measure Review &amp; Updates</v>
          </cell>
          <cell r="C6">
            <v>92000</v>
          </cell>
          <cell r="D6">
            <v>345000</v>
          </cell>
          <cell r="J6">
            <v>84000</v>
          </cell>
          <cell r="K6">
            <v>292000</v>
          </cell>
        </row>
        <row r="7">
          <cell r="C7">
            <v>44000</v>
          </cell>
          <cell r="D7">
            <v>220000</v>
          </cell>
          <cell r="J7">
            <v>41000</v>
          </cell>
          <cell r="K7">
            <v>223000</v>
          </cell>
        </row>
        <row r="8">
          <cell r="B8" t="str">
            <v>Standardization of Technical Analysis</v>
          </cell>
          <cell r="C8">
            <v>40000</v>
          </cell>
          <cell r="D8">
            <v>230000</v>
          </cell>
          <cell r="J8">
            <v>23500</v>
          </cell>
          <cell r="K8">
            <v>210000</v>
          </cell>
        </row>
        <row r="9">
          <cell r="B9" t="str">
            <v>Tool Development</v>
          </cell>
          <cell r="C9">
            <v>0</v>
          </cell>
          <cell r="D9">
            <v>120000</v>
          </cell>
          <cell r="J9">
            <v>130000</v>
          </cell>
          <cell r="K9">
            <v>151400</v>
          </cell>
        </row>
        <row r="10">
          <cell r="B10" t="str">
            <v>Regional Coordination</v>
          </cell>
          <cell r="F10">
            <v>155000</v>
          </cell>
          <cell r="M10">
            <v>130000</v>
          </cell>
        </row>
        <row r="11">
          <cell r="C11">
            <v>40000</v>
          </cell>
          <cell r="D11">
            <v>10000</v>
          </cell>
          <cell r="J11">
            <v>0</v>
          </cell>
          <cell r="K11">
            <v>93000</v>
          </cell>
        </row>
        <row r="12">
          <cell r="C12">
            <v>50000</v>
          </cell>
          <cell r="D12">
            <v>0</v>
          </cell>
          <cell r="J12">
            <v>60000</v>
          </cell>
          <cell r="K12">
            <v>5000</v>
          </cell>
        </row>
        <row r="13">
          <cell r="C13">
            <v>163000</v>
          </cell>
          <cell r="D13">
            <v>113000</v>
          </cell>
          <cell r="J13">
            <v>182000</v>
          </cell>
          <cell r="K13">
            <v>90000</v>
          </cell>
        </row>
        <row r="14">
          <cell r="B14" t="str">
            <v>RTF Management</v>
          </cell>
          <cell r="C14">
            <v>4000</v>
          </cell>
          <cell r="E14">
            <v>174000</v>
          </cell>
          <cell r="J14">
            <v>3300</v>
          </cell>
          <cell r="L14">
            <v>157000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18BC-6E90-4560-973D-B3C17577DD95}">
  <dimension ref="A1:B12"/>
  <sheetViews>
    <sheetView workbookViewId="0"/>
  </sheetViews>
  <sheetFormatPr defaultRowHeight="15.75" x14ac:dyDescent="0.25"/>
  <cols>
    <col min="1" max="1" width="21.7109375" style="1" customWidth="1"/>
    <col min="2" max="2" width="92.140625" style="1" customWidth="1"/>
    <col min="3" max="16384" width="9.140625" style="1"/>
  </cols>
  <sheetData>
    <row r="1" spans="1:2" ht="18.75" x14ac:dyDescent="0.3">
      <c r="A1" s="2" t="s">
        <v>64</v>
      </c>
    </row>
    <row r="2" spans="1:2" x14ac:dyDescent="0.25">
      <c r="A2" s="3" t="s">
        <v>259</v>
      </c>
    </row>
    <row r="4" spans="1:2" x14ac:dyDescent="0.25">
      <c r="A4" s="333" t="s">
        <v>220</v>
      </c>
      <c r="B4" s="333" t="s">
        <v>84</v>
      </c>
    </row>
    <row r="5" spans="1:2" x14ac:dyDescent="0.25">
      <c r="A5" s="334" t="s">
        <v>64</v>
      </c>
      <c r="B5" s="335"/>
    </row>
    <row r="6" spans="1:2" ht="63" x14ac:dyDescent="0.25">
      <c r="A6" s="334" t="s">
        <v>224</v>
      </c>
      <c r="B6" s="336" t="s">
        <v>228</v>
      </c>
    </row>
    <row r="7" spans="1:2" ht="31.5" x14ac:dyDescent="0.25">
      <c r="A7" s="334" t="s">
        <v>225</v>
      </c>
      <c r="B7" s="336" t="s">
        <v>229</v>
      </c>
    </row>
    <row r="8" spans="1:2" ht="47.25" x14ac:dyDescent="0.25">
      <c r="A8" s="334" t="s">
        <v>226</v>
      </c>
      <c r="B8" s="336" t="s">
        <v>230</v>
      </c>
    </row>
    <row r="9" spans="1:2" ht="31.5" x14ac:dyDescent="0.25">
      <c r="A9" s="334" t="s">
        <v>227</v>
      </c>
      <c r="B9" s="336" t="s">
        <v>231</v>
      </c>
    </row>
    <row r="10" spans="1:2" ht="31.5" x14ac:dyDescent="0.25">
      <c r="A10" s="334" t="s">
        <v>223</v>
      </c>
      <c r="B10" s="336" t="s">
        <v>232</v>
      </c>
    </row>
    <row r="11" spans="1:2" ht="31.5" x14ac:dyDescent="0.25">
      <c r="A11" s="334" t="s">
        <v>221</v>
      </c>
      <c r="B11" s="336" t="s">
        <v>222</v>
      </c>
    </row>
    <row r="12" spans="1:2" x14ac:dyDescent="0.25">
      <c r="A12" s="14"/>
      <c r="B12" s="33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F9B16-F515-454B-AAC6-9D1A504902CF}">
  <dimension ref="A1:BL125"/>
  <sheetViews>
    <sheetView topLeftCell="B1" workbookViewId="0"/>
  </sheetViews>
  <sheetFormatPr defaultColWidth="8.85546875" defaultRowHeight="12.75" x14ac:dyDescent="0.2"/>
  <cols>
    <col min="1" max="1" width="52.7109375" customWidth="1"/>
    <col min="2" max="6" width="14.28515625" customWidth="1"/>
    <col min="7" max="7" width="10.7109375" bestFit="1" customWidth="1"/>
    <col min="8" max="8" width="12.28515625" bestFit="1" customWidth="1"/>
    <col min="9" max="13" width="14.28515625" customWidth="1"/>
    <col min="14" max="14" width="10.85546875" customWidth="1"/>
    <col min="15" max="15" width="12.42578125" customWidth="1"/>
    <col min="16" max="20" width="14.28515625" customWidth="1"/>
    <col min="21" max="21" width="10.85546875" customWidth="1"/>
    <col min="22" max="22" width="16" customWidth="1"/>
    <col min="23" max="23" width="16.85546875" customWidth="1"/>
    <col min="24" max="37" width="12.85546875" customWidth="1"/>
    <col min="38" max="38" width="10.5703125" bestFit="1" customWidth="1"/>
    <col min="39" max="39" width="14.42578125" customWidth="1"/>
    <col min="40" max="40" width="14" customWidth="1"/>
    <col min="41" max="43" width="13" bestFit="1" customWidth="1"/>
    <col min="64" max="64" width="12.7109375" bestFit="1" customWidth="1"/>
    <col min="70" max="70" width="10.85546875" customWidth="1"/>
  </cols>
  <sheetData>
    <row r="1" spans="1:64" ht="18.75" x14ac:dyDescent="0.3">
      <c r="A1" s="2" t="s">
        <v>211</v>
      </c>
    </row>
    <row r="2" spans="1:64" ht="15" x14ac:dyDescent="0.25">
      <c r="A2" s="3" t="str">
        <f>'Table of Contents'!A2</f>
        <v>Final 2020 RTF Work Plan, Approved by the Council on October 16, 2019</v>
      </c>
    </row>
    <row r="3" spans="1:64" ht="13.5" thickBot="1" x14ac:dyDescent="0.25">
      <c r="A3" s="277"/>
      <c r="I3" s="371"/>
      <c r="J3" s="371"/>
      <c r="K3" s="371"/>
      <c r="L3" s="371"/>
      <c r="M3" s="371"/>
      <c r="P3" s="372"/>
      <c r="Q3" s="372"/>
      <c r="R3" s="372"/>
      <c r="S3" s="372"/>
      <c r="T3" s="372"/>
    </row>
    <row r="4" spans="1:64" ht="26.25" customHeight="1" x14ac:dyDescent="0.25">
      <c r="A4" s="58"/>
      <c r="B4" s="373" t="s">
        <v>199</v>
      </c>
      <c r="C4" s="374"/>
      <c r="D4" s="374"/>
      <c r="E4" s="374"/>
      <c r="F4" s="375"/>
      <c r="G4" s="1"/>
      <c r="I4" s="373" t="s">
        <v>212</v>
      </c>
      <c r="J4" s="374"/>
      <c r="K4" s="374"/>
      <c r="L4" s="374"/>
      <c r="M4" s="375"/>
      <c r="N4" s="278"/>
      <c r="P4" s="373" t="s">
        <v>213</v>
      </c>
      <c r="Q4" s="374"/>
      <c r="R4" s="374"/>
      <c r="S4" s="374"/>
      <c r="T4" s="375"/>
      <c r="V4" s="278"/>
      <c r="W4" s="326"/>
      <c r="X4" s="376" t="str">
        <f>P4</f>
        <v>Final 2018</v>
      </c>
      <c r="Y4" s="377"/>
      <c r="Z4" s="377"/>
      <c r="AA4" s="377"/>
      <c r="AB4" s="378"/>
      <c r="AC4" s="376" t="str">
        <f>I4</f>
        <v>Final 2019</v>
      </c>
      <c r="AD4" s="377"/>
      <c r="AE4" s="377"/>
      <c r="AF4" s="377"/>
      <c r="AG4" s="378"/>
      <c r="AH4" s="368" t="str">
        <f>B4</f>
        <v>Proposed 2020</v>
      </c>
      <c r="AI4" s="369"/>
      <c r="AJ4" s="369"/>
      <c r="AK4" s="369"/>
      <c r="AL4" s="370"/>
      <c r="AM4" s="278"/>
      <c r="AN4" s="278"/>
      <c r="AO4" s="278"/>
    </row>
    <row r="5" spans="1:64" ht="63" x14ac:dyDescent="0.25">
      <c r="A5" s="179" t="s">
        <v>177</v>
      </c>
      <c r="B5" s="180" t="s">
        <v>74</v>
      </c>
      <c r="C5" s="180" t="s">
        <v>214</v>
      </c>
      <c r="D5" s="181" t="s">
        <v>76</v>
      </c>
      <c r="E5" s="181" t="s">
        <v>215</v>
      </c>
      <c r="F5" s="184" t="s">
        <v>207</v>
      </c>
      <c r="G5" s="180" t="s">
        <v>200</v>
      </c>
      <c r="H5" s="1"/>
      <c r="I5" s="180" t="str">
        <f>B5</f>
        <v>Contract RFP</v>
      </c>
      <c r="J5" s="180" t="str">
        <f t="shared" ref="J5:M5" si="0">C5</f>
        <v>RTF Contract Analyst Team</v>
      </c>
      <c r="K5" s="180" t="str">
        <f t="shared" si="0"/>
        <v>RTF Manager</v>
      </c>
      <c r="L5" s="180" t="str">
        <f t="shared" si="0"/>
        <v>Subtotoal Funders</v>
      </c>
      <c r="M5" s="180" t="str">
        <f t="shared" si="0"/>
        <v>Council Contribution</v>
      </c>
      <c r="N5" s="180" t="str">
        <f>G5</f>
        <v>% of total</v>
      </c>
      <c r="O5" s="1"/>
      <c r="P5" s="180" t="str">
        <f>I5</f>
        <v>Contract RFP</v>
      </c>
      <c r="Q5" s="180" t="str">
        <f t="shared" ref="Q5" si="1">J5</f>
        <v>RTF Contract Analyst Team</v>
      </c>
      <c r="R5" s="180" t="str">
        <f t="shared" ref="R5" si="2">K5</f>
        <v>RTF Manager</v>
      </c>
      <c r="S5" s="180" t="str">
        <f t="shared" ref="S5" si="3">L5</f>
        <v>Subtotoal Funders</v>
      </c>
      <c r="T5" s="180" t="str">
        <f t="shared" ref="T5" si="4">M5</f>
        <v>Council Contribution</v>
      </c>
      <c r="U5" s="180" t="str">
        <f>N5</f>
        <v>% of total</v>
      </c>
      <c r="W5" s="181" t="s">
        <v>177</v>
      </c>
      <c r="X5" s="184" t="str">
        <f>P5</f>
        <v>Contract RFP</v>
      </c>
      <c r="Y5" s="180" t="str">
        <f t="shared" ref="Y5:AA5" si="5">Q5</f>
        <v>RTF Contract Analyst Team</v>
      </c>
      <c r="Z5" s="180" t="str">
        <f t="shared" si="5"/>
        <v>RTF Manager</v>
      </c>
      <c r="AA5" s="180" t="str">
        <f t="shared" si="5"/>
        <v>Subtotoal Funders</v>
      </c>
      <c r="AB5" s="182" t="str">
        <f>U5</f>
        <v>% of total</v>
      </c>
      <c r="AC5" s="184" t="str">
        <f>I5</f>
        <v>Contract RFP</v>
      </c>
      <c r="AD5" s="180" t="str">
        <f t="shared" ref="AD5:AF5" si="6">J5</f>
        <v>RTF Contract Analyst Team</v>
      </c>
      <c r="AE5" s="180" t="str">
        <f t="shared" si="6"/>
        <v>RTF Manager</v>
      </c>
      <c r="AF5" s="180" t="str">
        <f t="shared" si="6"/>
        <v>Subtotoal Funders</v>
      </c>
      <c r="AG5" s="182" t="str">
        <f>N5</f>
        <v>% of total</v>
      </c>
      <c r="AH5" s="184" t="str">
        <f>B5</f>
        <v>Contract RFP</v>
      </c>
      <c r="AI5" s="180" t="str">
        <f t="shared" ref="AI5:AK5" si="7">C5</f>
        <v>RTF Contract Analyst Team</v>
      </c>
      <c r="AJ5" s="180" t="str">
        <f t="shared" si="7"/>
        <v>RTF Manager</v>
      </c>
      <c r="AK5" s="180" t="str">
        <f t="shared" si="7"/>
        <v>Subtotoal Funders</v>
      </c>
      <c r="AL5" s="182" t="str">
        <f>G5</f>
        <v>% of total</v>
      </c>
      <c r="AM5" s="278"/>
      <c r="AN5" s="279"/>
      <c r="AO5" s="180">
        <v>2018</v>
      </c>
      <c r="AP5" s="180">
        <v>2019</v>
      </c>
      <c r="AQ5" s="180">
        <v>2020</v>
      </c>
    </row>
    <row r="6" spans="1:64" ht="53.25" customHeight="1" x14ac:dyDescent="0.25">
      <c r="A6" s="269" t="s">
        <v>216</v>
      </c>
      <c r="B6" s="270">
        <f>'Category Detail (2020)'!B10</f>
        <v>92000</v>
      </c>
      <c r="C6" s="270">
        <f>'Category Detail (2020)'!C10</f>
        <v>345000</v>
      </c>
      <c r="D6" s="270">
        <f>'Category Detail (2020)'!D10</f>
        <v>0</v>
      </c>
      <c r="E6" s="270">
        <f>SUM(B6:D6)</f>
        <v>437000</v>
      </c>
      <c r="F6" s="318">
        <f>'Category Detail (2020)'!F10</f>
        <v>9700</v>
      </c>
      <c r="G6" s="319">
        <f>E6/$E$15</f>
        <v>0.24277777777777779</v>
      </c>
      <c r="H6" s="282"/>
      <c r="I6" s="270">
        <v>84000</v>
      </c>
      <c r="J6" s="270">
        <v>292000</v>
      </c>
      <c r="K6" s="320">
        <v>0</v>
      </c>
      <c r="L6" s="320">
        <v>376000</v>
      </c>
      <c r="M6" s="318">
        <v>22000</v>
      </c>
      <c r="N6" s="319">
        <f>L6/$E$15</f>
        <v>0.2088888888888889</v>
      </c>
      <c r="O6" s="1"/>
      <c r="P6" s="270">
        <v>76000</v>
      </c>
      <c r="Q6" s="270">
        <v>391000</v>
      </c>
      <c r="R6" s="320">
        <v>0</v>
      </c>
      <c r="S6" s="320">
        <v>467000</v>
      </c>
      <c r="T6" s="318">
        <v>20000</v>
      </c>
      <c r="U6" s="321">
        <v>0.25467633745978074</v>
      </c>
      <c r="W6" s="327" t="s">
        <v>201</v>
      </c>
      <c r="X6" s="318">
        <f>SUM(P6:P8)</f>
        <v>162500</v>
      </c>
      <c r="Y6" s="270">
        <f>SUM(Q6:Q8)</f>
        <v>842000</v>
      </c>
      <c r="Z6" s="270">
        <f>SUM(R6:R8)</f>
        <v>0</v>
      </c>
      <c r="AA6" s="270">
        <f>SUM(S6:S8)</f>
        <v>1004500</v>
      </c>
      <c r="AB6" s="328">
        <f>AA6/$AA$10</f>
        <v>0.54779953100289036</v>
      </c>
      <c r="AC6" s="318">
        <f>SUM(I6:I8)</f>
        <v>148500</v>
      </c>
      <c r="AD6" s="270">
        <f>SUM(J6:J8)</f>
        <v>725000</v>
      </c>
      <c r="AE6" s="270">
        <f>SUM(K6:K8)</f>
        <v>0</v>
      </c>
      <c r="AF6" s="270">
        <f>SUM(L6:L8)</f>
        <v>873500</v>
      </c>
      <c r="AG6" s="328">
        <f>AF6/$AF$10</f>
        <v>0.46581697952218432</v>
      </c>
      <c r="AH6" s="318">
        <f>SUM(B6:B8)</f>
        <v>176000</v>
      </c>
      <c r="AI6" s="270">
        <f>SUM(C6:C8)</f>
        <v>795000</v>
      </c>
      <c r="AJ6" s="270">
        <f>SUM(D6:D8)</f>
        <v>0</v>
      </c>
      <c r="AK6" s="270">
        <f>SUM(E6:E8)</f>
        <v>971000</v>
      </c>
      <c r="AL6" s="328">
        <f>AK6/$AK$10</f>
        <v>0.53944444444444439</v>
      </c>
      <c r="AM6" s="278"/>
      <c r="AN6" s="279" t="s">
        <v>74</v>
      </c>
      <c r="AO6" s="285">
        <f>X10</f>
        <v>488700</v>
      </c>
      <c r="AP6" s="285">
        <f>AC10</f>
        <v>523800</v>
      </c>
      <c r="AQ6" s="285">
        <f>AH10</f>
        <v>433000</v>
      </c>
    </row>
    <row r="7" spans="1:64" ht="60" customHeight="1" x14ac:dyDescent="0.25">
      <c r="A7" s="269" t="s">
        <v>217</v>
      </c>
      <c r="B7" s="270">
        <f>'Category Detail (2020)'!B19</f>
        <v>44000</v>
      </c>
      <c r="C7" s="270">
        <f>'Category Detail (2020)'!C19</f>
        <v>220000</v>
      </c>
      <c r="D7" s="270">
        <f>'Category Detail (2020)'!D19</f>
        <v>0</v>
      </c>
      <c r="E7" s="320">
        <f t="shared" ref="E7:E14" si="8">SUM(B7:D7)</f>
        <v>264000</v>
      </c>
      <c r="F7" s="318">
        <f>'Category Detail (2020)'!F19</f>
        <v>4400</v>
      </c>
      <c r="G7" s="319">
        <f>E7/$E$15</f>
        <v>0.14666666666666667</v>
      </c>
      <c r="H7" s="55"/>
      <c r="I7" s="270">
        <v>41000</v>
      </c>
      <c r="J7" s="270">
        <v>223000</v>
      </c>
      <c r="K7" s="270">
        <v>0</v>
      </c>
      <c r="L7" s="320">
        <v>264000</v>
      </c>
      <c r="M7" s="318">
        <v>9200</v>
      </c>
      <c r="N7" s="319">
        <f>L7/$E$15</f>
        <v>0.14666666666666667</v>
      </c>
      <c r="O7" s="1"/>
      <c r="P7" s="270">
        <v>58000</v>
      </c>
      <c r="Q7" s="270">
        <v>286000</v>
      </c>
      <c r="R7" s="270">
        <v>0</v>
      </c>
      <c r="S7" s="320">
        <v>344000</v>
      </c>
      <c r="T7" s="318">
        <v>11000</v>
      </c>
      <c r="U7" s="321">
        <v>0.18759884386759013</v>
      </c>
      <c r="W7" s="329" t="s">
        <v>203</v>
      </c>
      <c r="X7" s="280">
        <f>SUM(P9:P10)</f>
        <v>70000</v>
      </c>
      <c r="Y7" s="187">
        <f>SUM(Q9:Q10)</f>
        <v>265000</v>
      </c>
      <c r="Z7" s="187">
        <f>SUM(R9:R10)</f>
        <v>0</v>
      </c>
      <c r="AA7" s="187">
        <f>SUM(S9:S10)</f>
        <v>335000</v>
      </c>
      <c r="AB7" s="330">
        <f>AA7/$AA$10</f>
        <v>0.18269073458035665</v>
      </c>
      <c r="AC7" s="280">
        <f>SUM(I9:I10)</f>
        <v>130000</v>
      </c>
      <c r="AD7" s="187">
        <f>SUM(J9:J10)</f>
        <v>281400</v>
      </c>
      <c r="AE7" s="187">
        <f>SUM(K9:K10)</f>
        <v>0</v>
      </c>
      <c r="AF7" s="187">
        <f>SUM(L9:L10)</f>
        <v>411400</v>
      </c>
      <c r="AG7" s="330">
        <f>AF7/$AF$10</f>
        <v>0.21938993174061433</v>
      </c>
      <c r="AH7" s="280">
        <f>SUM(B9:B10)</f>
        <v>0</v>
      </c>
      <c r="AI7" s="187">
        <f>SUM(C9:C10)</f>
        <v>275000</v>
      </c>
      <c r="AJ7" s="187">
        <f>SUM(D9:D10)</f>
        <v>0</v>
      </c>
      <c r="AK7" s="187">
        <f>SUM(E9:E10)</f>
        <v>275000</v>
      </c>
      <c r="AL7" s="330">
        <f>AK7/$AK$10</f>
        <v>0.15277777777777779</v>
      </c>
      <c r="AM7" s="278"/>
      <c r="AN7" s="279" t="s">
        <v>202</v>
      </c>
      <c r="AO7" s="285">
        <f>Y10</f>
        <v>1192000</v>
      </c>
      <c r="AP7" s="285">
        <f>AD10</f>
        <v>1194400</v>
      </c>
      <c r="AQ7" s="285">
        <f>AI10</f>
        <v>1193000</v>
      </c>
    </row>
    <row r="8" spans="1:64" ht="38.25" customHeight="1" x14ac:dyDescent="0.25">
      <c r="A8" s="269" t="s">
        <v>104</v>
      </c>
      <c r="B8" s="270">
        <f>'Category Detail (2020)'!B27</f>
        <v>40000</v>
      </c>
      <c r="C8" s="270">
        <f>'Category Detail (2020)'!C27</f>
        <v>230000</v>
      </c>
      <c r="D8" s="270">
        <f>'Category Detail (2020)'!D27</f>
        <v>0</v>
      </c>
      <c r="E8" s="320">
        <f t="shared" si="8"/>
        <v>270000</v>
      </c>
      <c r="F8" s="318">
        <f>'Category Detail (2020)'!F27</f>
        <v>1500</v>
      </c>
      <c r="G8" s="319">
        <f t="shared" ref="G8:G14" si="9">E8/$E$15</f>
        <v>0.15</v>
      </c>
      <c r="H8" s="55"/>
      <c r="I8" s="270">
        <v>23500</v>
      </c>
      <c r="J8" s="270">
        <v>210000</v>
      </c>
      <c r="K8" s="270">
        <v>0</v>
      </c>
      <c r="L8" s="320">
        <v>233500</v>
      </c>
      <c r="M8" s="318">
        <v>1500</v>
      </c>
      <c r="N8" s="319">
        <f t="shared" ref="N8:N14" si="10">L8/$E$15</f>
        <v>0.12972222222222221</v>
      </c>
      <c r="O8" s="1"/>
      <c r="P8" s="270">
        <v>28500</v>
      </c>
      <c r="Q8" s="270">
        <v>165000</v>
      </c>
      <c r="R8" s="270">
        <v>0</v>
      </c>
      <c r="S8" s="320">
        <v>193500</v>
      </c>
      <c r="T8" s="318">
        <v>6000</v>
      </c>
      <c r="U8" s="321">
        <v>0.10552434967551944</v>
      </c>
      <c r="W8" s="291" t="s">
        <v>186</v>
      </c>
      <c r="X8" s="288">
        <f>P11</f>
        <v>0</v>
      </c>
      <c r="Y8" s="194">
        <f>Q11</f>
        <v>0</v>
      </c>
      <c r="Z8" s="194">
        <f>R11</f>
        <v>0</v>
      </c>
      <c r="AA8" s="194">
        <f>S11</f>
        <v>0</v>
      </c>
      <c r="AB8" s="292">
        <f>AA8/AA10</f>
        <v>0</v>
      </c>
      <c r="AC8" s="288">
        <f>I11</f>
        <v>0</v>
      </c>
      <c r="AD8" s="194">
        <f>J11</f>
        <v>93000</v>
      </c>
      <c r="AE8" s="194">
        <f>K11</f>
        <v>0</v>
      </c>
      <c r="AF8" s="194">
        <f>L11</f>
        <v>93000</v>
      </c>
      <c r="AG8" s="292">
        <f>AF8/AF10</f>
        <v>4.9594709897610924E-2</v>
      </c>
      <c r="AH8" s="288">
        <f>B11</f>
        <v>40000</v>
      </c>
      <c r="AI8" s="194">
        <f>C11</f>
        <v>10000</v>
      </c>
      <c r="AJ8" s="194">
        <f>D11</f>
        <v>0</v>
      </c>
      <c r="AK8" s="194">
        <f>E11</f>
        <v>50000</v>
      </c>
      <c r="AL8" s="292">
        <f>AK8/AK10</f>
        <v>2.7777777777777776E-2</v>
      </c>
      <c r="AM8" s="278"/>
      <c r="AN8" s="279" t="s">
        <v>76</v>
      </c>
      <c r="AO8" s="285">
        <f>Z10</f>
        <v>153000</v>
      </c>
      <c r="AP8" s="285">
        <f>AE10</f>
        <v>157000</v>
      </c>
      <c r="AQ8" s="285">
        <f>AJ10</f>
        <v>174000</v>
      </c>
    </row>
    <row r="9" spans="1:64" ht="38.25" customHeight="1" x14ac:dyDescent="0.25">
      <c r="A9" s="186" t="s">
        <v>114</v>
      </c>
      <c r="B9" s="187">
        <f>'Category Detail (2020)'!B36</f>
        <v>0</v>
      </c>
      <c r="C9" s="187">
        <f>'Category Detail (2020)'!C36</f>
        <v>120000</v>
      </c>
      <c r="D9" s="187">
        <f>'Category Detail (2020)'!D36</f>
        <v>0</v>
      </c>
      <c r="E9" s="283">
        <f t="shared" si="8"/>
        <v>120000</v>
      </c>
      <c r="F9" s="280">
        <f>'Category Detail (2020)'!F36</f>
        <v>16500</v>
      </c>
      <c r="G9" s="281">
        <f t="shared" si="9"/>
        <v>6.6666666666666666E-2</v>
      </c>
      <c r="H9" s="282"/>
      <c r="I9" s="187">
        <v>130000</v>
      </c>
      <c r="J9" s="187">
        <v>151400</v>
      </c>
      <c r="K9" s="187">
        <v>0</v>
      </c>
      <c r="L9" s="283">
        <v>281400</v>
      </c>
      <c r="M9" s="280">
        <v>15000</v>
      </c>
      <c r="N9" s="281">
        <f t="shared" si="10"/>
        <v>0.15633333333333332</v>
      </c>
      <c r="O9" s="1"/>
      <c r="P9" s="187">
        <v>0</v>
      </c>
      <c r="Q9" s="187">
        <v>50000</v>
      </c>
      <c r="R9" s="187">
        <v>0</v>
      </c>
      <c r="S9" s="283">
        <v>50000</v>
      </c>
      <c r="T9" s="280">
        <v>15000</v>
      </c>
      <c r="U9" s="284">
        <v>2.7267273817963681E-2</v>
      </c>
      <c r="W9" s="331" t="s">
        <v>205</v>
      </c>
      <c r="X9" s="323">
        <f>SUM(P12:P14)</f>
        <v>256200</v>
      </c>
      <c r="Y9" s="274">
        <f>SUM(Q12:Q14)</f>
        <v>85000</v>
      </c>
      <c r="Z9" s="274">
        <f>SUM(R12:R14)</f>
        <v>153000</v>
      </c>
      <c r="AA9" s="274">
        <f>SUM(S12:S14)</f>
        <v>494200</v>
      </c>
      <c r="AB9" s="332">
        <f>AA9/$AA$10</f>
        <v>0.26950973441675302</v>
      </c>
      <c r="AC9" s="323">
        <f>SUM(I12:I14)</f>
        <v>245300</v>
      </c>
      <c r="AD9" s="274">
        <f>SUM(J12:J14)</f>
        <v>95000</v>
      </c>
      <c r="AE9" s="274">
        <f>SUM(K12:K14)</f>
        <v>157000</v>
      </c>
      <c r="AF9" s="274">
        <f>SUM(L12:L14)</f>
        <v>497300</v>
      </c>
      <c r="AG9" s="332">
        <f>AF9/$AF$10</f>
        <v>0.26519837883959047</v>
      </c>
      <c r="AH9" s="323">
        <f>SUM(B12:B14)</f>
        <v>217000</v>
      </c>
      <c r="AI9" s="274">
        <f>SUM(C12:C14)</f>
        <v>113000</v>
      </c>
      <c r="AJ9" s="274">
        <f>SUM(D12:D14)</f>
        <v>174000</v>
      </c>
      <c r="AK9" s="274">
        <f>SUM(E12:E14)</f>
        <v>504000</v>
      </c>
      <c r="AL9" s="332">
        <f>AK9/$AK$10</f>
        <v>0.28000000000000003</v>
      </c>
      <c r="AM9" s="278"/>
      <c r="AN9" s="286" t="s">
        <v>191</v>
      </c>
      <c r="AO9" s="207">
        <f>SUM(AO6:AO8)</f>
        <v>1833700</v>
      </c>
      <c r="AP9" s="207">
        <f>SUM(AP6:AP8)</f>
        <v>1875200</v>
      </c>
      <c r="AQ9" s="207">
        <f>SUM(AQ6:AQ8)</f>
        <v>1800000</v>
      </c>
    </row>
    <row r="10" spans="1:64" ht="38.25" customHeight="1" thickBot="1" x14ac:dyDescent="0.3">
      <c r="A10" s="186" t="s">
        <v>204</v>
      </c>
      <c r="B10" s="187">
        <f>'Category Detail (2020)'!B46</f>
        <v>0</v>
      </c>
      <c r="C10" s="187">
        <f>'Category Detail (2020)'!C46</f>
        <v>155000</v>
      </c>
      <c r="D10" s="187">
        <f>'Category Detail (2020)'!D46</f>
        <v>0</v>
      </c>
      <c r="E10" s="283">
        <f t="shared" si="8"/>
        <v>155000</v>
      </c>
      <c r="F10" s="280">
        <f>'Category Detail (2020)'!F46</f>
        <v>22000</v>
      </c>
      <c r="G10" s="281">
        <f t="shared" si="9"/>
        <v>8.611111111111111E-2</v>
      </c>
      <c r="H10" s="55"/>
      <c r="I10" s="187">
        <v>0</v>
      </c>
      <c r="J10" s="187">
        <v>130000</v>
      </c>
      <c r="K10" s="187">
        <v>0</v>
      </c>
      <c r="L10" s="283">
        <v>130000</v>
      </c>
      <c r="M10" s="280">
        <v>16000</v>
      </c>
      <c r="N10" s="281">
        <f>L10/$E$15</f>
        <v>7.2222222222222215E-2</v>
      </c>
      <c r="O10" s="1"/>
      <c r="P10" s="187">
        <v>70000</v>
      </c>
      <c r="Q10" s="187">
        <v>215000</v>
      </c>
      <c r="R10" s="187">
        <v>0</v>
      </c>
      <c r="S10" s="283">
        <v>285000</v>
      </c>
      <c r="T10" s="280">
        <v>21000</v>
      </c>
      <c r="U10" s="284">
        <v>0.15542346076239297</v>
      </c>
      <c r="W10" s="297" t="s">
        <v>191</v>
      </c>
      <c r="X10" s="298">
        <f t="shared" ref="X10:AL10" si="11">SUM(X6:X9)</f>
        <v>488700</v>
      </c>
      <c r="Y10" s="299">
        <f t="shared" si="11"/>
        <v>1192000</v>
      </c>
      <c r="Z10" s="299">
        <f t="shared" si="11"/>
        <v>153000</v>
      </c>
      <c r="AA10" s="299">
        <f t="shared" si="11"/>
        <v>1833700</v>
      </c>
      <c r="AB10" s="300">
        <f t="shared" si="11"/>
        <v>1</v>
      </c>
      <c r="AC10" s="298">
        <f t="shared" si="11"/>
        <v>523800</v>
      </c>
      <c r="AD10" s="299">
        <f t="shared" si="11"/>
        <v>1194400</v>
      </c>
      <c r="AE10" s="299">
        <f t="shared" si="11"/>
        <v>157000</v>
      </c>
      <c r="AF10" s="299">
        <f t="shared" si="11"/>
        <v>1875200</v>
      </c>
      <c r="AG10" s="300">
        <f t="shared" si="11"/>
        <v>1</v>
      </c>
      <c r="AH10" s="298">
        <f t="shared" si="11"/>
        <v>433000</v>
      </c>
      <c r="AI10" s="299">
        <f t="shared" si="11"/>
        <v>1193000</v>
      </c>
      <c r="AJ10" s="299">
        <f t="shared" si="11"/>
        <v>174000</v>
      </c>
      <c r="AK10" s="299">
        <f t="shared" si="11"/>
        <v>1800000</v>
      </c>
      <c r="AL10" s="300">
        <f t="shared" si="11"/>
        <v>1</v>
      </c>
      <c r="AM10" s="278"/>
      <c r="AN10" s="278"/>
      <c r="AO10" s="278"/>
      <c r="AP10" s="278"/>
      <c r="AQ10" s="278"/>
    </row>
    <row r="11" spans="1:64" ht="38.25" customHeight="1" x14ac:dyDescent="0.25">
      <c r="A11" s="193" t="s">
        <v>186</v>
      </c>
      <c r="B11" s="194">
        <f>'Category Detail (2020)'!B51</f>
        <v>40000</v>
      </c>
      <c r="C11" s="194">
        <f>'Category Detail (2020)'!C51</f>
        <v>10000</v>
      </c>
      <c r="D11" s="194">
        <f>'Category Detail (2020)'!D51</f>
        <v>0</v>
      </c>
      <c r="E11" s="287">
        <f t="shared" si="8"/>
        <v>50000</v>
      </c>
      <c r="F11" s="288">
        <f>'Category Detail (2020)'!F51</f>
        <v>10000</v>
      </c>
      <c r="G11" s="289">
        <f t="shared" si="9"/>
        <v>2.7777777777777776E-2</v>
      </c>
      <c r="H11" s="55"/>
      <c r="I11" s="194">
        <v>0</v>
      </c>
      <c r="J11" s="194">
        <v>93000</v>
      </c>
      <c r="K11" s="194">
        <v>0</v>
      </c>
      <c r="L11" s="287">
        <v>93000</v>
      </c>
      <c r="M11" s="288">
        <v>5000</v>
      </c>
      <c r="N11" s="289">
        <f t="shared" si="10"/>
        <v>5.1666666666666666E-2</v>
      </c>
      <c r="O11" s="1"/>
      <c r="P11" s="194">
        <v>0</v>
      </c>
      <c r="Q11" s="194">
        <v>0</v>
      </c>
      <c r="R11" s="194">
        <v>0</v>
      </c>
      <c r="S11" s="287">
        <v>0</v>
      </c>
      <c r="T11" s="288">
        <v>0</v>
      </c>
      <c r="U11" s="290">
        <v>0</v>
      </c>
      <c r="AM11" s="278"/>
      <c r="AN11" s="278"/>
      <c r="AO11" s="278"/>
      <c r="AP11" s="278"/>
      <c r="AQ11" s="278"/>
    </row>
    <row r="12" spans="1:64" ht="38.25" customHeight="1" x14ac:dyDescent="0.25">
      <c r="A12" s="273" t="s">
        <v>218</v>
      </c>
      <c r="B12" s="274">
        <f>'Category Detail (2020)'!B57</f>
        <v>50000</v>
      </c>
      <c r="C12" s="274">
        <f>'Category Detail (2020)'!C57</f>
        <v>0</v>
      </c>
      <c r="D12" s="274">
        <f>'Category Detail (2020)'!D57</f>
        <v>0</v>
      </c>
      <c r="E12" s="322">
        <f t="shared" si="8"/>
        <v>50000</v>
      </c>
      <c r="F12" s="323">
        <f>'Category Detail (2020)'!F57</f>
        <v>45000</v>
      </c>
      <c r="G12" s="324">
        <f t="shared" si="9"/>
        <v>2.7777777777777776E-2</v>
      </c>
      <c r="H12" s="282"/>
      <c r="I12" s="274">
        <v>60000</v>
      </c>
      <c r="J12" s="274">
        <v>5000</v>
      </c>
      <c r="K12" s="274">
        <v>0</v>
      </c>
      <c r="L12" s="322">
        <v>65000</v>
      </c>
      <c r="M12" s="323">
        <v>45000</v>
      </c>
      <c r="N12" s="324">
        <f t="shared" si="10"/>
        <v>3.6111111111111108E-2</v>
      </c>
      <c r="O12" s="1"/>
      <c r="P12" s="274">
        <v>65000</v>
      </c>
      <c r="Q12" s="274">
        <v>10000</v>
      </c>
      <c r="R12" s="274">
        <v>0</v>
      </c>
      <c r="S12" s="322">
        <v>75000</v>
      </c>
      <c r="T12" s="323">
        <v>45000</v>
      </c>
      <c r="U12" s="325">
        <v>4.0900910726945523E-2</v>
      </c>
      <c r="AM12" s="278"/>
      <c r="AN12" s="278"/>
      <c r="AO12" s="278"/>
      <c r="AP12" s="278"/>
      <c r="AQ12" s="278"/>
    </row>
    <row r="13" spans="1:64" ht="38.25" customHeight="1" x14ac:dyDescent="0.25">
      <c r="A13" s="273" t="s">
        <v>219</v>
      </c>
      <c r="B13" s="274">
        <f>'Category Detail (2020)'!B63</f>
        <v>163000</v>
      </c>
      <c r="C13" s="274">
        <f>'Category Detail (2020)'!C63</f>
        <v>113000</v>
      </c>
      <c r="D13" s="274">
        <f>'Category Detail (2020)'!D63</f>
        <v>0</v>
      </c>
      <c r="E13" s="322">
        <f t="shared" si="8"/>
        <v>276000</v>
      </c>
      <c r="F13" s="323">
        <f>'Category Detail (2020)'!F63</f>
        <v>10000</v>
      </c>
      <c r="G13" s="324">
        <f t="shared" si="9"/>
        <v>0.15333333333333332</v>
      </c>
      <c r="H13" s="55"/>
      <c r="I13" s="274">
        <v>182000</v>
      </c>
      <c r="J13" s="274">
        <v>90000</v>
      </c>
      <c r="K13" s="274">
        <v>0</v>
      </c>
      <c r="L13" s="322">
        <v>272000</v>
      </c>
      <c r="M13" s="323">
        <v>10000</v>
      </c>
      <c r="N13" s="324">
        <f t="shared" si="10"/>
        <v>0.15111111111111111</v>
      </c>
      <c r="O13" s="1"/>
      <c r="P13" s="274">
        <v>186900</v>
      </c>
      <c r="Q13" s="274">
        <v>75000</v>
      </c>
      <c r="R13" s="274">
        <v>0</v>
      </c>
      <c r="S13" s="322">
        <v>261900</v>
      </c>
      <c r="T13" s="323">
        <v>10000</v>
      </c>
      <c r="U13" s="325">
        <v>0.14282598025849375</v>
      </c>
      <c r="AM13" s="278"/>
      <c r="AN13" s="278"/>
      <c r="AO13" s="278"/>
      <c r="AP13" s="278"/>
      <c r="AQ13" s="278"/>
    </row>
    <row r="14" spans="1:64" ht="38.25" customHeight="1" x14ac:dyDescent="0.25">
      <c r="A14" s="273" t="s">
        <v>148</v>
      </c>
      <c r="B14" s="274">
        <f>'Category Detail (2020)'!B74</f>
        <v>4000</v>
      </c>
      <c r="C14" s="274">
        <f>'Category Detail (2020)'!C74</f>
        <v>0</v>
      </c>
      <c r="D14" s="274">
        <f>'Category Detail (2020)'!D74</f>
        <v>174000</v>
      </c>
      <c r="E14" s="322">
        <f t="shared" si="8"/>
        <v>178000</v>
      </c>
      <c r="F14" s="323">
        <f>'Category Detail (2020)'!F74</f>
        <v>66500</v>
      </c>
      <c r="G14" s="324">
        <f t="shared" si="9"/>
        <v>9.8888888888888887E-2</v>
      </c>
      <c r="H14" s="55"/>
      <c r="I14" s="274">
        <v>3300</v>
      </c>
      <c r="J14" s="274">
        <v>0</v>
      </c>
      <c r="K14" s="274">
        <v>157000</v>
      </c>
      <c r="L14" s="322">
        <v>160300</v>
      </c>
      <c r="M14" s="323">
        <v>66500</v>
      </c>
      <c r="N14" s="324">
        <f t="shared" si="10"/>
        <v>8.9055555555555554E-2</v>
      </c>
      <c r="O14" s="1"/>
      <c r="P14" s="274">
        <v>4300</v>
      </c>
      <c r="Q14" s="274">
        <v>0</v>
      </c>
      <c r="R14" s="274">
        <v>153000</v>
      </c>
      <c r="S14" s="322">
        <v>157300</v>
      </c>
      <c r="T14" s="323">
        <v>66500</v>
      </c>
      <c r="U14" s="325">
        <v>8.5782843431313732E-2</v>
      </c>
      <c r="AM14" s="278"/>
      <c r="AN14" s="278"/>
      <c r="AO14" s="278"/>
      <c r="AP14" s="278"/>
      <c r="AQ14" s="278"/>
    </row>
    <row r="15" spans="1:64" ht="38.25" customHeight="1" x14ac:dyDescent="0.25">
      <c r="A15" s="293" t="s">
        <v>191</v>
      </c>
      <c r="B15" s="207">
        <f>SUM(B6:B14)</f>
        <v>433000</v>
      </c>
      <c r="C15" s="207">
        <f t="shared" ref="C15:F15" si="12">SUM(C6:C14)</f>
        <v>1193000</v>
      </c>
      <c r="D15" s="207">
        <f t="shared" si="12"/>
        <v>174000</v>
      </c>
      <c r="E15" s="294">
        <f>SUM(E6:E14)</f>
        <v>1800000</v>
      </c>
      <c r="F15" s="295">
        <f t="shared" si="12"/>
        <v>185600</v>
      </c>
      <c r="G15" s="296">
        <f>SUM(G6:G14)</f>
        <v>1</v>
      </c>
      <c r="H15" s="55"/>
      <c r="I15" s="207">
        <f>SUM(I6:I14)</f>
        <v>523800</v>
      </c>
      <c r="J15" s="207">
        <f t="shared" ref="J15:M15" si="13">SUM(J6:J14)</f>
        <v>1194400</v>
      </c>
      <c r="K15" s="207">
        <f t="shared" si="13"/>
        <v>157000</v>
      </c>
      <c r="L15" s="294">
        <f>SUM(L6:L14)</f>
        <v>1875200</v>
      </c>
      <c r="M15" s="295">
        <f t="shared" si="13"/>
        <v>190200</v>
      </c>
      <c r="N15" s="296">
        <f>SUM(N6:N14)</f>
        <v>1.0417777777777777</v>
      </c>
      <c r="O15" s="1"/>
      <c r="P15" s="207">
        <v>488700</v>
      </c>
      <c r="Q15" s="207">
        <v>1192000</v>
      </c>
      <c r="R15" s="207">
        <v>153000</v>
      </c>
      <c r="S15" s="294">
        <v>1833700</v>
      </c>
      <c r="T15" s="295">
        <v>194500</v>
      </c>
      <c r="U15" s="296">
        <v>1</v>
      </c>
      <c r="AM15" s="278"/>
      <c r="AN15" s="278"/>
      <c r="AO15" s="278"/>
      <c r="AP15" s="278"/>
      <c r="AQ15" s="278"/>
    </row>
    <row r="16" spans="1:64" ht="15" x14ac:dyDescent="0.2">
      <c r="E16" s="301"/>
      <c r="I16" s="301"/>
      <c r="J16" s="301"/>
      <c r="K16" s="302"/>
      <c r="Q16" s="302"/>
      <c r="R16" s="302"/>
      <c r="AN16" s="278"/>
      <c r="AO16" s="278"/>
      <c r="AP16" s="278"/>
      <c r="AQ16" s="278"/>
      <c r="BL16" s="303"/>
    </row>
    <row r="20" spans="15:15" x14ac:dyDescent="0.2">
      <c r="O20" s="301"/>
    </row>
    <row r="21" spans="15:15" x14ac:dyDescent="0.2">
      <c r="O21" s="301"/>
    </row>
    <row r="123" spans="14:18" x14ac:dyDescent="0.2">
      <c r="N123" s="304"/>
      <c r="O123" s="301"/>
      <c r="P123" s="301"/>
      <c r="Q123" s="301"/>
      <c r="R123" s="301"/>
    </row>
    <row r="125" spans="14:18" x14ac:dyDescent="0.2">
      <c r="N125" s="304"/>
      <c r="O125" s="301"/>
      <c r="P125" s="301"/>
      <c r="Q125" s="301"/>
      <c r="R125" s="301"/>
    </row>
  </sheetData>
  <mergeCells count="8">
    <mergeCell ref="AH4:AL4"/>
    <mergeCell ref="I3:M3"/>
    <mergeCell ref="P3:T3"/>
    <mergeCell ref="B4:F4"/>
    <mergeCell ref="I4:M4"/>
    <mergeCell ref="P4:T4"/>
    <mergeCell ref="AC4:AG4"/>
    <mergeCell ref="X4:AB4"/>
  </mergeCells>
  <pageMargins left="0.7" right="0.7" top="0.75" bottom="0.75" header="0.3" footer="0.3"/>
  <ignoredErrors>
    <ignoredError sqref="AD7:AF7 X9:AA9 AC9:AF9 X6:AA6 AC6:AF6 X7:AA7 AC7"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E66E4-F854-4224-87F5-C60E031754BD}">
  <dimension ref="A1:Z94"/>
  <sheetViews>
    <sheetView zoomScale="90" zoomScaleNormal="90" workbookViewId="0"/>
  </sheetViews>
  <sheetFormatPr defaultColWidth="8.85546875" defaultRowHeight="15.75" x14ac:dyDescent="0.25"/>
  <cols>
    <col min="1" max="1" width="79.85546875" style="1" bestFit="1" customWidth="1"/>
    <col min="2" max="2" width="15.28515625" style="1" bestFit="1" customWidth="1"/>
    <col min="3" max="3" width="13.42578125" style="1" bestFit="1" customWidth="1"/>
    <col min="4" max="4" width="13.42578125" style="1" customWidth="1"/>
    <col min="5" max="5" width="15.28515625" style="1" bestFit="1" customWidth="1"/>
    <col min="6" max="6" width="15.42578125" style="1" bestFit="1" customWidth="1"/>
    <col min="7" max="7" width="13.42578125" style="1" customWidth="1"/>
    <col min="8" max="8" width="7.28515625" style="1" bestFit="1" customWidth="1"/>
    <col min="9" max="10" width="12.7109375" style="1" customWidth="1"/>
    <col min="11" max="11" width="12" style="1" customWidth="1"/>
    <col min="12" max="12" width="10.28515625" style="1" customWidth="1"/>
    <col min="13" max="13" width="238.85546875" style="1" bestFit="1" customWidth="1"/>
    <col min="14" max="14" width="233.140625" style="1" bestFit="1" customWidth="1"/>
    <col min="15" max="15" width="8.85546875" style="142"/>
    <col min="16" max="16384" width="8.85546875" style="1"/>
  </cols>
  <sheetData>
    <row r="1" spans="1:15" ht="18.75" x14ac:dyDescent="0.3">
      <c r="A1" s="2" t="s">
        <v>71</v>
      </c>
      <c r="E1"/>
      <c r="F1"/>
      <c r="G1"/>
      <c r="H1"/>
    </row>
    <row r="2" spans="1:15" x14ac:dyDescent="0.25">
      <c r="A2" s="72" t="str">
        <f>'Table of Contents'!A2</f>
        <v>Final 2020 RTF Work Plan, Approved by the Council on October 16, 2019</v>
      </c>
      <c r="G2" s="143"/>
      <c r="H2" s="144"/>
      <c r="I2"/>
      <c r="K2"/>
      <c r="L2" s="143"/>
      <c r="M2" s="72"/>
    </row>
    <row r="3" spans="1:15" ht="29.25" customHeight="1" x14ac:dyDescent="0.25">
      <c r="C3" s="6"/>
      <c r="D3" s="6"/>
      <c r="E3" s="165">
        <f>E77</f>
        <v>1800000</v>
      </c>
      <c r="F3" s="166"/>
      <c r="G3" s="166"/>
      <c r="H3" s="379" t="s">
        <v>72</v>
      </c>
      <c r="I3" s="379"/>
      <c r="J3" s="379"/>
      <c r="K3" s="379"/>
      <c r="L3" s="379"/>
      <c r="N3" s="142"/>
      <c r="O3" s="1"/>
    </row>
    <row r="4" spans="1:15" s="146" customFormat="1" ht="63" x14ac:dyDescent="0.25">
      <c r="A4" s="97" t="s">
        <v>73</v>
      </c>
      <c r="B4" s="98" t="s">
        <v>74</v>
      </c>
      <c r="C4" s="99" t="s">
        <v>75</v>
      </c>
      <c r="D4" s="99" t="s">
        <v>76</v>
      </c>
      <c r="E4" s="98" t="s">
        <v>77</v>
      </c>
      <c r="F4" s="98" t="s">
        <v>208</v>
      </c>
      <c r="G4" s="98" t="s">
        <v>78</v>
      </c>
      <c r="H4" s="164" t="s">
        <v>79</v>
      </c>
      <c r="I4" s="164" t="s">
        <v>80</v>
      </c>
      <c r="J4" s="164" t="s">
        <v>81</v>
      </c>
      <c r="K4" s="164" t="s">
        <v>82</v>
      </c>
      <c r="L4" s="164" t="s">
        <v>83</v>
      </c>
      <c r="M4" s="100" t="s">
        <v>84</v>
      </c>
      <c r="N4" s="145"/>
    </row>
    <row r="5" spans="1:15" s="148" customFormat="1" x14ac:dyDescent="0.25">
      <c r="A5" s="101" t="s">
        <v>216</v>
      </c>
      <c r="B5" s="102"/>
      <c r="C5" s="102"/>
      <c r="D5" s="102"/>
      <c r="E5" s="102"/>
      <c r="F5" s="102"/>
      <c r="G5" s="103"/>
      <c r="H5" s="103"/>
      <c r="I5" s="104"/>
      <c r="J5" s="103"/>
      <c r="K5" s="103"/>
      <c r="L5" s="103"/>
      <c r="M5" s="103"/>
      <c r="N5" s="147"/>
    </row>
    <row r="6" spans="1:15" s="148" customFormat="1" x14ac:dyDescent="0.25">
      <c r="A6" s="105" t="s">
        <v>85</v>
      </c>
      <c r="B6" s="106">
        <f>$H6*I6</f>
        <v>36000</v>
      </c>
      <c r="C6" s="106">
        <f>$H6*J6</f>
        <v>135000</v>
      </c>
      <c r="D6" s="106">
        <f>$H6*K6</f>
        <v>0</v>
      </c>
      <c r="E6" s="106">
        <f>SUM(B6:D6)</f>
        <v>171000</v>
      </c>
      <c r="F6" s="106">
        <f>H6*L6</f>
        <v>6300</v>
      </c>
      <c r="G6" s="107"/>
      <c r="H6" s="108">
        <v>9</v>
      </c>
      <c r="I6" s="104">
        <v>4000</v>
      </c>
      <c r="J6" s="109">
        <v>15000</v>
      </c>
      <c r="K6" s="109">
        <v>0</v>
      </c>
      <c r="L6" s="109">
        <v>700</v>
      </c>
      <c r="M6" s="110" t="s">
        <v>86</v>
      </c>
      <c r="N6" s="147"/>
    </row>
    <row r="7" spans="1:15" s="148" customFormat="1" x14ac:dyDescent="0.25">
      <c r="A7" s="105" t="s">
        <v>87</v>
      </c>
      <c r="B7" s="106">
        <f t="shared" ref="B7:B9" si="0">$H7*I7</f>
        <v>8000</v>
      </c>
      <c r="C7" s="106">
        <f t="shared" ref="C7:C9" si="1">$H7*J7</f>
        <v>30000</v>
      </c>
      <c r="D7" s="106">
        <f t="shared" ref="D7:D9" si="2">$H7*K7</f>
        <v>0</v>
      </c>
      <c r="E7" s="106">
        <f t="shared" ref="E7:E9" si="3">SUM(B7:D7)</f>
        <v>38000</v>
      </c>
      <c r="F7" s="106">
        <f t="shared" ref="F7:F9" si="4">H7*L7</f>
        <v>1400</v>
      </c>
      <c r="G7" s="107"/>
      <c r="H7" s="108">
        <v>2</v>
      </c>
      <c r="I7" s="104">
        <v>4000</v>
      </c>
      <c r="J7" s="109">
        <v>15000</v>
      </c>
      <c r="K7" s="109">
        <v>0</v>
      </c>
      <c r="L7" s="109">
        <v>700</v>
      </c>
      <c r="M7" s="110" t="s">
        <v>88</v>
      </c>
      <c r="N7" s="147"/>
    </row>
    <row r="8" spans="1:15" s="148" customFormat="1" x14ac:dyDescent="0.25">
      <c r="A8" s="105" t="s">
        <v>89</v>
      </c>
      <c r="B8" s="106">
        <f t="shared" si="0"/>
        <v>40000</v>
      </c>
      <c r="C8" s="106">
        <f t="shared" si="1"/>
        <v>150000</v>
      </c>
      <c r="D8" s="106">
        <f t="shared" si="2"/>
        <v>0</v>
      </c>
      <c r="E8" s="106">
        <f t="shared" si="3"/>
        <v>190000</v>
      </c>
      <c r="F8" s="106">
        <f t="shared" si="4"/>
        <v>1000</v>
      </c>
      <c r="G8" s="107"/>
      <c r="H8" s="108">
        <v>10</v>
      </c>
      <c r="I8" s="104">
        <v>4000</v>
      </c>
      <c r="J8" s="109">
        <v>15000</v>
      </c>
      <c r="K8" s="109">
        <v>0</v>
      </c>
      <c r="L8" s="109">
        <v>100</v>
      </c>
      <c r="M8" s="110" t="s">
        <v>90</v>
      </c>
      <c r="N8" s="147"/>
    </row>
    <row r="9" spans="1:15" s="148" customFormat="1" x14ac:dyDescent="0.25">
      <c r="A9" s="105" t="s">
        <v>91</v>
      </c>
      <c r="B9" s="106">
        <f t="shared" si="0"/>
        <v>8000</v>
      </c>
      <c r="C9" s="106">
        <f t="shared" si="1"/>
        <v>30000</v>
      </c>
      <c r="D9" s="106">
        <f t="shared" si="2"/>
        <v>0</v>
      </c>
      <c r="E9" s="106">
        <f t="shared" si="3"/>
        <v>38000</v>
      </c>
      <c r="F9" s="106">
        <f t="shared" si="4"/>
        <v>1000</v>
      </c>
      <c r="G9" s="107"/>
      <c r="H9" s="108">
        <v>2</v>
      </c>
      <c r="I9" s="104">
        <v>4000</v>
      </c>
      <c r="J9" s="109">
        <v>15000</v>
      </c>
      <c r="K9" s="109">
        <v>0</v>
      </c>
      <c r="L9" s="109">
        <v>500</v>
      </c>
      <c r="M9" s="110" t="s">
        <v>92</v>
      </c>
      <c r="N9" s="149"/>
    </row>
    <row r="10" spans="1:15" s="148" customFormat="1" x14ac:dyDescent="0.25">
      <c r="A10" s="101" t="str">
        <f>CONCATENATE("Subtotal ",A5)</f>
        <v>Subtotal Existing Measure Maintenance</v>
      </c>
      <c r="B10" s="111">
        <f>SUM(B6:B9)</f>
        <v>92000</v>
      </c>
      <c r="C10" s="111">
        <f t="shared" ref="C10:F10" si="5">SUM(C6:C9)</f>
        <v>345000</v>
      </c>
      <c r="D10" s="111">
        <f t="shared" si="5"/>
        <v>0</v>
      </c>
      <c r="E10" s="111">
        <f>SUM(E6:E9)</f>
        <v>437000</v>
      </c>
      <c r="F10" s="111">
        <f t="shared" si="5"/>
        <v>9700</v>
      </c>
      <c r="G10" s="112">
        <f>E10/$E$77</f>
        <v>0.24277777777777779</v>
      </c>
      <c r="H10" s="108"/>
      <c r="I10" s="104"/>
      <c r="J10" s="113"/>
      <c r="K10" s="113"/>
      <c r="L10" s="109"/>
      <c r="M10" s="103"/>
      <c r="N10" s="147"/>
    </row>
    <row r="11" spans="1:15" s="148" customFormat="1" x14ac:dyDescent="0.25">
      <c r="A11" s="103"/>
      <c r="B11" s="106"/>
      <c r="C11" s="106"/>
      <c r="D11" s="106"/>
      <c r="E11" s="106"/>
      <c r="F11" s="114"/>
      <c r="G11" s="108"/>
      <c r="H11" s="108"/>
      <c r="I11" s="108"/>
      <c r="J11" s="115"/>
      <c r="K11" s="115"/>
      <c r="L11" s="109"/>
      <c r="M11" s="103"/>
      <c r="N11" s="147"/>
    </row>
    <row r="12" spans="1:15" s="148" customFormat="1" x14ac:dyDescent="0.25">
      <c r="A12" s="103"/>
      <c r="B12" s="106"/>
      <c r="C12" s="106"/>
      <c r="D12" s="106"/>
      <c r="E12" s="106"/>
      <c r="F12" s="114"/>
      <c r="G12" s="108"/>
      <c r="H12" s="108"/>
      <c r="I12" s="108" t="s">
        <v>93</v>
      </c>
      <c r="J12" s="109"/>
      <c r="K12" s="109"/>
      <c r="L12" s="109"/>
      <c r="M12" s="103"/>
      <c r="N12" s="147"/>
    </row>
    <row r="13" spans="1:15" s="148" customFormat="1" x14ac:dyDescent="0.25">
      <c r="A13" s="101" t="s">
        <v>217</v>
      </c>
      <c r="B13" s="106"/>
      <c r="C13" s="106"/>
      <c r="D13" s="106"/>
      <c r="E13" s="106"/>
      <c r="F13" s="106"/>
      <c r="G13" s="108"/>
      <c r="H13" s="108"/>
      <c r="I13" s="104"/>
      <c r="J13" s="109"/>
      <c r="K13" s="109"/>
      <c r="L13" s="109"/>
      <c r="M13" s="103"/>
      <c r="N13" s="147"/>
    </row>
    <row r="14" spans="1:15" s="148" customFormat="1" x14ac:dyDescent="0.25">
      <c r="A14" s="110" t="s">
        <v>94</v>
      </c>
      <c r="B14" s="106">
        <f>$H14*I14</f>
        <v>20000</v>
      </c>
      <c r="C14" s="106">
        <f t="shared" ref="C14:D14" si="6">$H14*J14</f>
        <v>20000</v>
      </c>
      <c r="D14" s="106">
        <f t="shared" si="6"/>
        <v>0</v>
      </c>
      <c r="E14" s="106">
        <f>SUM(B14:D14)</f>
        <v>40000</v>
      </c>
      <c r="F14" s="106">
        <f>L14*H14</f>
        <v>0</v>
      </c>
      <c r="G14" s="107"/>
      <c r="H14" s="116">
        <v>2</v>
      </c>
      <c r="I14" s="104">
        <v>10000</v>
      </c>
      <c r="J14" s="109">
        <v>10000</v>
      </c>
      <c r="K14" s="109">
        <v>0</v>
      </c>
      <c r="L14" s="109">
        <v>0</v>
      </c>
      <c r="M14" s="110" t="s">
        <v>95</v>
      </c>
      <c r="N14" s="150"/>
    </row>
    <row r="15" spans="1:15" s="148" customFormat="1" x14ac:dyDescent="0.25">
      <c r="A15" s="110" t="s">
        <v>96</v>
      </c>
      <c r="B15" s="106">
        <f t="shared" ref="B15:B18" si="7">$H15*I15</f>
        <v>20000</v>
      </c>
      <c r="C15" s="106">
        <f t="shared" ref="C15:C18" si="8">$H15*J15</f>
        <v>125000</v>
      </c>
      <c r="D15" s="106">
        <f t="shared" ref="D15:D18" si="9">$H15*K15</f>
        <v>0</v>
      </c>
      <c r="E15" s="106">
        <f t="shared" ref="E15:E18" si="10">SUM(B15:D15)</f>
        <v>145000</v>
      </c>
      <c r="F15" s="106">
        <f t="shared" ref="F15:F18" si="11">L15*H15</f>
        <v>3500</v>
      </c>
      <c r="G15" s="107"/>
      <c r="H15" s="116">
        <v>5</v>
      </c>
      <c r="I15" s="104">
        <v>4000</v>
      </c>
      <c r="J15" s="109">
        <v>25000</v>
      </c>
      <c r="K15" s="109">
        <v>0</v>
      </c>
      <c r="L15" s="109">
        <v>700</v>
      </c>
      <c r="M15" s="110" t="s">
        <v>97</v>
      </c>
      <c r="N15" s="150"/>
    </row>
    <row r="16" spans="1:15" s="148" customFormat="1" x14ac:dyDescent="0.25">
      <c r="A16" s="110" t="s">
        <v>98</v>
      </c>
      <c r="B16" s="106">
        <f t="shared" si="7"/>
        <v>4000</v>
      </c>
      <c r="C16" s="106">
        <f t="shared" si="8"/>
        <v>25000</v>
      </c>
      <c r="D16" s="106">
        <f t="shared" si="9"/>
        <v>0</v>
      </c>
      <c r="E16" s="106">
        <f t="shared" si="10"/>
        <v>29000</v>
      </c>
      <c r="F16" s="106">
        <f t="shared" si="11"/>
        <v>700</v>
      </c>
      <c r="G16" s="107"/>
      <c r="H16" s="116">
        <v>1</v>
      </c>
      <c r="I16" s="104">
        <v>4000</v>
      </c>
      <c r="J16" s="109">
        <v>25000</v>
      </c>
      <c r="K16" s="109">
        <v>0</v>
      </c>
      <c r="L16" s="109">
        <v>700</v>
      </c>
      <c r="M16" s="110" t="s">
        <v>99</v>
      </c>
      <c r="N16" s="150"/>
    </row>
    <row r="17" spans="1:14" s="148" customFormat="1" x14ac:dyDescent="0.25">
      <c r="A17" s="110" t="s">
        <v>100</v>
      </c>
      <c r="B17" s="106">
        <f t="shared" si="7"/>
        <v>0</v>
      </c>
      <c r="C17" s="106">
        <f t="shared" si="8"/>
        <v>0</v>
      </c>
      <c r="D17" s="106">
        <f t="shared" si="9"/>
        <v>0</v>
      </c>
      <c r="E17" s="106">
        <f t="shared" si="10"/>
        <v>0</v>
      </c>
      <c r="F17" s="106">
        <f t="shared" si="11"/>
        <v>0</v>
      </c>
      <c r="G17" s="107"/>
      <c r="H17" s="116">
        <v>0</v>
      </c>
      <c r="I17" s="104">
        <v>4000</v>
      </c>
      <c r="J17" s="109">
        <v>25000</v>
      </c>
      <c r="K17" s="109">
        <v>0</v>
      </c>
      <c r="L17" s="109">
        <v>700</v>
      </c>
      <c r="M17" s="110" t="s">
        <v>101</v>
      </c>
      <c r="N17" s="150"/>
    </row>
    <row r="18" spans="1:14" s="148" customFormat="1" x14ac:dyDescent="0.25">
      <c r="A18" s="110" t="s">
        <v>102</v>
      </c>
      <c r="B18" s="106">
        <f t="shared" si="7"/>
        <v>0</v>
      </c>
      <c r="C18" s="106">
        <f t="shared" si="8"/>
        <v>50000</v>
      </c>
      <c r="D18" s="106">
        <f t="shared" si="9"/>
        <v>0</v>
      </c>
      <c r="E18" s="106">
        <f t="shared" si="10"/>
        <v>50000</v>
      </c>
      <c r="F18" s="106">
        <f t="shared" si="11"/>
        <v>200</v>
      </c>
      <c r="G18" s="107"/>
      <c r="H18" s="116">
        <v>2</v>
      </c>
      <c r="I18" s="104">
        <v>0</v>
      </c>
      <c r="J18" s="109">
        <v>25000</v>
      </c>
      <c r="K18" s="109">
        <v>0</v>
      </c>
      <c r="L18" s="109">
        <v>100</v>
      </c>
      <c r="M18" s="103" t="s">
        <v>103</v>
      </c>
      <c r="N18" s="147"/>
    </row>
    <row r="19" spans="1:14" s="148" customFormat="1" x14ac:dyDescent="0.25">
      <c r="A19" s="101" t="str">
        <f>CONCATENATE("Subtotal ",A13)</f>
        <v>Subtotal New Measure Development</v>
      </c>
      <c r="B19" s="111">
        <f>SUM(B14:B18)</f>
        <v>44000</v>
      </c>
      <c r="C19" s="111">
        <f>SUM(C14:C18)</f>
        <v>220000</v>
      </c>
      <c r="D19" s="111">
        <f>SUM(D14:D18)</f>
        <v>0</v>
      </c>
      <c r="E19" s="111">
        <f>SUM(E14:E18)</f>
        <v>264000</v>
      </c>
      <c r="F19" s="111">
        <f>SUM(F14:F18)</f>
        <v>4400</v>
      </c>
      <c r="G19" s="112">
        <f>E19/$E$77</f>
        <v>0.14666666666666667</v>
      </c>
      <c r="H19" s="108"/>
      <c r="I19" s="108"/>
      <c r="J19" s="103"/>
      <c r="K19" s="103"/>
      <c r="L19" s="103"/>
      <c r="M19" s="110"/>
      <c r="N19" s="147"/>
    </row>
    <row r="20" spans="1:14" s="148" customFormat="1" x14ac:dyDescent="0.25">
      <c r="A20" s="101"/>
      <c r="B20" s="106"/>
      <c r="C20" s="106"/>
      <c r="D20" s="106"/>
      <c r="E20" s="106"/>
      <c r="F20" s="117"/>
      <c r="G20" s="108"/>
      <c r="H20" s="108"/>
      <c r="I20" s="108"/>
      <c r="J20" s="103"/>
      <c r="K20" s="103"/>
      <c r="L20" s="103"/>
      <c r="M20" s="110"/>
      <c r="N20" s="147"/>
    </row>
    <row r="21" spans="1:14" s="148" customFormat="1" x14ac:dyDescent="0.25">
      <c r="A21" s="103"/>
      <c r="B21" s="106"/>
      <c r="C21" s="106"/>
      <c r="D21" s="106"/>
      <c r="E21" s="106"/>
      <c r="F21" s="117"/>
      <c r="G21" s="108"/>
      <c r="H21" s="108"/>
      <c r="I21" s="108"/>
      <c r="J21" s="118"/>
      <c r="K21" s="118"/>
      <c r="L21" s="118"/>
      <c r="M21" s="110"/>
      <c r="N21" s="147"/>
    </row>
    <row r="22" spans="1:14" s="58" customFormat="1" x14ac:dyDescent="0.25">
      <c r="A22" s="101" t="s">
        <v>104</v>
      </c>
      <c r="B22" s="119"/>
      <c r="C22" s="119"/>
      <c r="D22" s="119"/>
      <c r="E22" s="119"/>
      <c r="F22" s="119"/>
      <c r="G22" s="119"/>
      <c r="H22" s="119"/>
      <c r="I22" s="119"/>
      <c r="J22" s="118"/>
      <c r="K22" s="118"/>
      <c r="L22" s="118"/>
      <c r="M22" s="110"/>
      <c r="N22" s="150"/>
    </row>
    <row r="23" spans="1:14" s="58" customFormat="1" x14ac:dyDescent="0.25">
      <c r="A23" s="110" t="s">
        <v>105</v>
      </c>
      <c r="B23" s="106">
        <v>10000</v>
      </c>
      <c r="C23" s="106">
        <v>10000</v>
      </c>
      <c r="D23" s="106">
        <v>0</v>
      </c>
      <c r="E23" s="106">
        <f>SUM(B23:D23)</f>
        <v>20000</v>
      </c>
      <c r="F23" s="106">
        <v>1000</v>
      </c>
      <c r="G23" s="119"/>
      <c r="H23" s="116" t="s">
        <v>106</v>
      </c>
      <c r="I23" s="104"/>
      <c r="J23" s="109"/>
      <c r="K23" s="109"/>
      <c r="L23" s="109"/>
      <c r="M23" s="110" t="s">
        <v>107</v>
      </c>
      <c r="N23" s="150"/>
    </row>
    <row r="24" spans="1:14" s="58" customFormat="1" x14ac:dyDescent="0.25">
      <c r="A24" s="110" t="s">
        <v>108</v>
      </c>
      <c r="B24" s="106">
        <v>0</v>
      </c>
      <c r="C24" s="106">
        <v>0</v>
      </c>
      <c r="D24" s="106">
        <v>0</v>
      </c>
      <c r="E24" s="106">
        <f>SUM(B24:D24)</f>
        <v>0</v>
      </c>
      <c r="F24" s="106">
        <v>500</v>
      </c>
      <c r="G24" s="119"/>
      <c r="H24" s="116" t="s">
        <v>106</v>
      </c>
      <c r="I24" s="104"/>
      <c r="J24" s="109"/>
      <c r="K24" s="109"/>
      <c r="L24" s="109"/>
      <c r="M24" s="110" t="s">
        <v>109</v>
      </c>
      <c r="N24" s="150"/>
    </row>
    <row r="25" spans="1:14" s="58" customFormat="1" x14ac:dyDescent="0.25">
      <c r="A25" s="110" t="s">
        <v>110</v>
      </c>
      <c r="B25" s="106">
        <v>0</v>
      </c>
      <c r="C25" s="106">
        <v>180000</v>
      </c>
      <c r="D25" s="106">
        <v>0</v>
      </c>
      <c r="E25" s="106">
        <f t="shared" ref="E25:E26" si="12">SUM(B25:D25)</f>
        <v>180000</v>
      </c>
      <c r="F25" s="106">
        <v>0</v>
      </c>
      <c r="G25" s="112"/>
      <c r="H25" s="116" t="s">
        <v>106</v>
      </c>
      <c r="I25" s="104"/>
      <c r="J25" s="109"/>
      <c r="K25" s="109"/>
      <c r="L25" s="109"/>
      <c r="M25" s="110" t="s">
        <v>111</v>
      </c>
      <c r="N25" s="150"/>
    </row>
    <row r="26" spans="1:14" s="58" customFormat="1" x14ac:dyDescent="0.25">
      <c r="A26" s="110" t="s">
        <v>112</v>
      </c>
      <c r="B26" s="106">
        <v>30000</v>
      </c>
      <c r="C26" s="106">
        <v>40000</v>
      </c>
      <c r="D26" s="106">
        <v>0</v>
      </c>
      <c r="E26" s="106">
        <f t="shared" si="12"/>
        <v>70000</v>
      </c>
      <c r="F26" s="106">
        <v>0</v>
      </c>
      <c r="G26" s="112"/>
      <c r="H26" s="116" t="s">
        <v>106</v>
      </c>
      <c r="I26" s="104"/>
      <c r="J26" s="109"/>
      <c r="K26" s="109"/>
      <c r="L26" s="118"/>
      <c r="M26" s="110" t="s">
        <v>113</v>
      </c>
      <c r="N26" s="150"/>
    </row>
    <row r="27" spans="1:14" s="58" customFormat="1" x14ac:dyDescent="0.25">
      <c r="A27" s="101" t="str">
        <f>CONCATENATE("Subtotal ",A22)</f>
        <v>Subtotal Standardization of Technical Analysis</v>
      </c>
      <c r="B27" s="111">
        <f>SUM(B23:B26)</f>
        <v>40000</v>
      </c>
      <c r="C27" s="111">
        <f t="shared" ref="C27:E27" si="13">SUM(C23:C26)</f>
        <v>230000</v>
      </c>
      <c r="D27" s="111">
        <f t="shared" si="13"/>
        <v>0</v>
      </c>
      <c r="E27" s="111">
        <f t="shared" si="13"/>
        <v>270000</v>
      </c>
      <c r="F27" s="111">
        <f>SUM(F23:F26)</f>
        <v>1500</v>
      </c>
      <c r="G27" s="112">
        <f>E27/$E$77</f>
        <v>0.15</v>
      </c>
      <c r="H27" s="119"/>
      <c r="I27" s="119"/>
      <c r="J27" s="118"/>
      <c r="K27" s="118"/>
      <c r="L27" s="118"/>
      <c r="M27" s="110"/>
      <c r="N27" s="150"/>
    </row>
    <row r="28" spans="1:14" s="58" customFormat="1" x14ac:dyDescent="0.25">
      <c r="A28" s="101"/>
      <c r="B28" s="111"/>
      <c r="C28" s="111"/>
      <c r="D28" s="111"/>
      <c r="E28" s="111"/>
      <c r="F28" s="111"/>
      <c r="G28" s="112"/>
      <c r="H28" s="119"/>
      <c r="I28" s="119"/>
      <c r="J28" s="118"/>
      <c r="K28" s="118"/>
      <c r="L28" s="118"/>
      <c r="M28" s="110"/>
      <c r="N28" s="150"/>
    </row>
    <row r="29" spans="1:14" s="58" customFormat="1" x14ac:dyDescent="0.25">
      <c r="B29" s="120"/>
      <c r="C29" s="121"/>
      <c r="D29" s="120"/>
      <c r="E29" s="120"/>
      <c r="F29" s="21"/>
      <c r="G29" s="20"/>
      <c r="H29" s="20"/>
      <c r="I29" s="20"/>
      <c r="M29" s="122"/>
      <c r="N29" s="150"/>
    </row>
    <row r="30" spans="1:14" s="58" customFormat="1" x14ac:dyDescent="0.25">
      <c r="A30" s="152" t="s">
        <v>114</v>
      </c>
      <c r="B30" s="153"/>
      <c r="C30" s="153"/>
      <c r="D30" s="153"/>
      <c r="E30" s="153"/>
      <c r="F30" s="154"/>
      <c r="G30" s="154"/>
      <c r="H30" s="154"/>
      <c r="I30" s="154"/>
      <c r="J30" s="155"/>
      <c r="K30" s="155"/>
      <c r="L30" s="156"/>
      <c r="M30" s="157"/>
      <c r="N30" s="150"/>
    </row>
    <row r="31" spans="1:14" s="58" customFormat="1" x14ac:dyDescent="0.25">
      <c r="A31" s="157" t="s">
        <v>115</v>
      </c>
      <c r="B31" s="153">
        <v>0</v>
      </c>
      <c r="C31" s="153">
        <v>15000</v>
      </c>
      <c r="D31" s="153">
        <v>0</v>
      </c>
      <c r="E31" s="153">
        <f>SUM(B31:D31)</f>
        <v>15000</v>
      </c>
      <c r="F31" s="153">
        <v>5000</v>
      </c>
      <c r="G31" s="158"/>
      <c r="H31" s="154"/>
      <c r="I31" s="159"/>
      <c r="J31" s="156"/>
      <c r="K31" s="156"/>
      <c r="L31" s="156"/>
      <c r="M31" s="157" t="s">
        <v>116</v>
      </c>
      <c r="N31" s="150"/>
    </row>
    <row r="32" spans="1:14" s="58" customFormat="1" x14ac:dyDescent="0.25">
      <c r="A32" s="157" t="s">
        <v>117</v>
      </c>
      <c r="B32" s="153">
        <v>0</v>
      </c>
      <c r="C32" s="153">
        <v>5000</v>
      </c>
      <c r="D32" s="153">
        <v>0</v>
      </c>
      <c r="E32" s="153">
        <f>SUM(B32:D32)</f>
        <v>5000</v>
      </c>
      <c r="F32" s="153">
        <v>500</v>
      </c>
      <c r="G32" s="158"/>
      <c r="H32" s="154"/>
      <c r="I32" s="159"/>
      <c r="J32" s="156"/>
      <c r="K32" s="156"/>
      <c r="L32" s="156"/>
      <c r="M32" s="157" t="s">
        <v>118</v>
      </c>
      <c r="N32" s="150"/>
    </row>
    <row r="33" spans="1:14" s="58" customFormat="1" x14ac:dyDescent="0.25">
      <c r="A33" s="157" t="s">
        <v>119</v>
      </c>
      <c r="B33" s="153">
        <v>0</v>
      </c>
      <c r="C33" s="153">
        <v>50000</v>
      </c>
      <c r="D33" s="153">
        <v>0</v>
      </c>
      <c r="E33" s="153">
        <f>SUM(B33:D33)</f>
        <v>50000</v>
      </c>
      <c r="F33" s="153">
        <v>5000</v>
      </c>
      <c r="G33" s="158"/>
      <c r="H33" s="154"/>
      <c r="I33" s="159"/>
      <c r="J33" s="156"/>
      <c r="K33" s="156"/>
      <c r="L33" s="156"/>
      <c r="M33" s="157" t="s">
        <v>120</v>
      </c>
      <c r="N33" s="150"/>
    </row>
    <row r="34" spans="1:14" s="58" customFormat="1" x14ac:dyDescent="0.25">
      <c r="A34" s="157" t="s">
        <v>121</v>
      </c>
      <c r="B34" s="153">
        <v>0</v>
      </c>
      <c r="C34" s="153">
        <v>0</v>
      </c>
      <c r="D34" s="153">
        <v>0</v>
      </c>
      <c r="E34" s="153">
        <f>SUM(B34:D34)</f>
        <v>0</v>
      </c>
      <c r="F34" s="153">
        <v>5000</v>
      </c>
      <c r="G34" s="158"/>
      <c r="H34" s="154"/>
      <c r="I34" s="159"/>
      <c r="J34" s="156"/>
      <c r="K34" s="156"/>
      <c r="L34" s="155"/>
      <c r="M34" s="157" t="s">
        <v>122</v>
      </c>
      <c r="N34" s="150"/>
    </row>
    <row r="35" spans="1:14" s="58" customFormat="1" x14ac:dyDescent="0.25">
      <c r="A35" s="157" t="s">
        <v>123</v>
      </c>
      <c r="B35" s="153">
        <v>0</v>
      </c>
      <c r="C35" s="153">
        <v>50000</v>
      </c>
      <c r="D35" s="153">
        <v>0</v>
      </c>
      <c r="E35" s="153">
        <f>SUM(B35:D35)</f>
        <v>50000</v>
      </c>
      <c r="F35" s="153">
        <v>1000</v>
      </c>
      <c r="G35" s="158"/>
      <c r="H35" s="154"/>
      <c r="I35" s="159"/>
      <c r="J35" s="156"/>
      <c r="K35" s="156"/>
      <c r="L35" s="155"/>
      <c r="M35" s="157" t="s">
        <v>124</v>
      </c>
      <c r="N35" s="150"/>
    </row>
    <row r="36" spans="1:14" s="58" customFormat="1" x14ac:dyDescent="0.25">
      <c r="A36" s="152" t="str">
        <f>CONCATENATE("Subtotal ",A30)</f>
        <v>Subtotal Tool Development</v>
      </c>
      <c r="B36" s="160">
        <f>SUM(B31:B35)</f>
        <v>0</v>
      </c>
      <c r="C36" s="160">
        <f>SUM(C31:C35)</f>
        <v>120000</v>
      </c>
      <c r="D36" s="160">
        <f>SUM(D31:D35)</f>
        <v>0</v>
      </c>
      <c r="E36" s="160">
        <f>SUM(E31:E35)</f>
        <v>120000</v>
      </c>
      <c r="F36" s="160">
        <f>SUM(F31:F35)</f>
        <v>16500</v>
      </c>
      <c r="G36" s="158">
        <f>E36/$E$77</f>
        <v>6.6666666666666666E-2</v>
      </c>
      <c r="H36" s="154"/>
      <c r="I36" s="154"/>
      <c r="J36" s="155"/>
      <c r="K36" s="155"/>
      <c r="L36" s="155"/>
      <c r="M36" s="157"/>
      <c r="N36" s="150"/>
    </row>
    <row r="37" spans="1:14" s="58" customFormat="1" x14ac:dyDescent="0.25">
      <c r="A37" s="157"/>
      <c r="B37" s="153"/>
      <c r="C37" s="153"/>
      <c r="D37" s="153"/>
      <c r="E37" s="153"/>
      <c r="F37" s="154"/>
      <c r="G37" s="154"/>
      <c r="H37" s="154"/>
      <c r="I37" s="154"/>
      <c r="J37" s="155"/>
      <c r="K37" s="155"/>
      <c r="L37" s="155"/>
      <c r="M37" s="157"/>
      <c r="N37" s="150"/>
    </row>
    <row r="38" spans="1:14" s="58" customFormat="1" x14ac:dyDescent="0.25">
      <c r="A38" s="157"/>
      <c r="B38" s="153"/>
      <c r="C38" s="153"/>
      <c r="D38" s="153"/>
      <c r="E38" s="153"/>
      <c r="F38" s="154"/>
      <c r="G38" s="154"/>
      <c r="H38" s="154"/>
      <c r="I38" s="162"/>
      <c r="J38" s="161"/>
      <c r="K38" s="155"/>
      <c r="L38" s="155"/>
      <c r="M38" s="157"/>
      <c r="N38" s="150"/>
    </row>
    <row r="39" spans="1:14" s="58" customFormat="1" x14ac:dyDescent="0.25">
      <c r="A39" s="152" t="s">
        <v>125</v>
      </c>
      <c r="B39" s="153"/>
      <c r="C39" s="153"/>
      <c r="D39" s="153"/>
      <c r="E39" s="153"/>
      <c r="F39" s="163"/>
      <c r="G39" s="154"/>
      <c r="H39" s="154"/>
      <c r="I39" s="154"/>
      <c r="J39" s="155"/>
      <c r="K39" s="155"/>
      <c r="L39" s="155"/>
      <c r="M39" s="157"/>
      <c r="N39" s="150"/>
    </row>
    <row r="40" spans="1:14" s="58" customFormat="1" x14ac:dyDescent="0.25">
      <c r="A40" s="157" t="s">
        <v>126</v>
      </c>
      <c r="B40" s="153">
        <v>0</v>
      </c>
      <c r="C40" s="153">
        <v>50000</v>
      </c>
      <c r="D40" s="153">
        <v>0</v>
      </c>
      <c r="E40" s="153">
        <f>SUM(B40:D40)</f>
        <v>50000</v>
      </c>
      <c r="F40" s="163">
        <v>1000</v>
      </c>
      <c r="G40" s="158"/>
      <c r="H40" s="154"/>
      <c r="I40" s="154"/>
      <c r="J40" s="155"/>
      <c r="K40" s="155"/>
      <c r="L40" s="155"/>
      <c r="M40" s="157" t="s">
        <v>127</v>
      </c>
      <c r="N40" s="150"/>
    </row>
    <row r="41" spans="1:14" s="58" customFormat="1" x14ac:dyDescent="0.25">
      <c r="A41" s="157" t="s">
        <v>128</v>
      </c>
      <c r="B41" s="153">
        <v>0</v>
      </c>
      <c r="C41" s="153">
        <v>30000</v>
      </c>
      <c r="D41" s="153">
        <v>0</v>
      </c>
      <c r="E41" s="153">
        <f t="shared" ref="E41:E45" si="14">SUM(B41:D41)</f>
        <v>30000</v>
      </c>
      <c r="F41" s="163">
        <v>5000</v>
      </c>
      <c r="G41" s="158"/>
      <c r="H41" s="154"/>
      <c r="I41" s="154"/>
      <c r="J41" s="155"/>
      <c r="K41" s="155"/>
      <c r="L41" s="155"/>
      <c r="M41" s="157" t="s">
        <v>129</v>
      </c>
      <c r="N41" s="150"/>
    </row>
    <row r="42" spans="1:14" s="58" customFormat="1" x14ac:dyDescent="0.25">
      <c r="A42" s="157" t="s">
        <v>130</v>
      </c>
      <c r="B42" s="153">
        <v>0</v>
      </c>
      <c r="C42" s="153">
        <v>50000</v>
      </c>
      <c r="D42" s="153">
        <v>0</v>
      </c>
      <c r="E42" s="153">
        <f t="shared" si="14"/>
        <v>50000</v>
      </c>
      <c r="F42" s="163">
        <v>5000</v>
      </c>
      <c r="G42" s="158"/>
      <c r="H42" s="154"/>
      <c r="I42" s="154"/>
      <c r="J42" s="155"/>
      <c r="K42" s="155"/>
      <c r="L42" s="155"/>
      <c r="M42" s="157" t="s">
        <v>131</v>
      </c>
      <c r="N42" s="150"/>
    </row>
    <row r="43" spans="1:14" s="58" customFormat="1" x14ac:dyDescent="0.25">
      <c r="A43" s="157" t="s">
        <v>132</v>
      </c>
      <c r="B43" s="153">
        <v>0</v>
      </c>
      <c r="C43" s="153">
        <v>5000</v>
      </c>
      <c r="D43" s="153">
        <v>0</v>
      </c>
      <c r="E43" s="153">
        <f t="shared" si="14"/>
        <v>5000</v>
      </c>
      <c r="F43" s="163">
        <v>1000</v>
      </c>
      <c r="G43" s="158"/>
      <c r="H43" s="154"/>
      <c r="I43" s="154"/>
      <c r="J43" s="155"/>
      <c r="K43" s="155"/>
      <c r="L43" s="155"/>
      <c r="M43" s="157" t="s">
        <v>133</v>
      </c>
      <c r="N43" s="150"/>
    </row>
    <row r="44" spans="1:14" s="58" customFormat="1" x14ac:dyDescent="0.25">
      <c r="A44" s="157" t="s">
        <v>134</v>
      </c>
      <c r="B44" s="153">
        <v>0</v>
      </c>
      <c r="C44" s="153">
        <v>10000</v>
      </c>
      <c r="D44" s="153">
        <v>0</v>
      </c>
      <c r="E44" s="153">
        <f t="shared" si="14"/>
        <v>10000</v>
      </c>
      <c r="F44" s="163">
        <v>5000</v>
      </c>
      <c r="G44" s="158"/>
      <c r="H44" s="154"/>
      <c r="I44" s="154"/>
      <c r="J44" s="155"/>
      <c r="K44" s="155"/>
      <c r="L44" s="155"/>
      <c r="M44" s="157" t="s">
        <v>135</v>
      </c>
      <c r="N44" s="150"/>
    </row>
    <row r="45" spans="1:14" s="58" customFormat="1" x14ac:dyDescent="0.25">
      <c r="A45" s="157" t="s">
        <v>136</v>
      </c>
      <c r="B45" s="153">
        <v>0</v>
      </c>
      <c r="C45" s="153">
        <v>10000</v>
      </c>
      <c r="D45" s="153">
        <v>0</v>
      </c>
      <c r="E45" s="153">
        <f t="shared" si="14"/>
        <v>10000</v>
      </c>
      <c r="F45" s="163">
        <v>5000</v>
      </c>
      <c r="G45" s="158"/>
      <c r="H45" s="154"/>
      <c r="I45" s="154"/>
      <c r="J45" s="155"/>
      <c r="K45" s="155"/>
      <c r="L45" s="155"/>
      <c r="M45" s="157" t="s">
        <v>137</v>
      </c>
      <c r="N45" s="150"/>
    </row>
    <row r="46" spans="1:14" s="58" customFormat="1" x14ac:dyDescent="0.25">
      <c r="A46" s="152" t="str">
        <f>CONCATENATE("Subtotal ",A39)</f>
        <v>Subtotal Regional Coordination on Energy Efficiency</v>
      </c>
      <c r="B46" s="160">
        <f>SUM(B40:B45)</f>
        <v>0</v>
      </c>
      <c r="C46" s="160">
        <f>SUM(C40:C45)</f>
        <v>155000</v>
      </c>
      <c r="D46" s="160">
        <f>SUM(D40:D45)</f>
        <v>0</v>
      </c>
      <c r="E46" s="160">
        <f>SUM(E40:E45)</f>
        <v>155000</v>
      </c>
      <c r="F46" s="160">
        <f>SUM(F40:F45)</f>
        <v>22000</v>
      </c>
      <c r="G46" s="158">
        <f>E46/$E$77</f>
        <v>8.611111111111111E-2</v>
      </c>
      <c r="H46" s="154"/>
      <c r="I46" s="154"/>
      <c r="J46" s="155"/>
      <c r="K46" s="155"/>
      <c r="L46" s="155"/>
      <c r="M46" s="157"/>
      <c r="N46" s="150"/>
    </row>
    <row r="47" spans="1:14" s="58" customFormat="1" x14ac:dyDescent="0.25">
      <c r="A47" s="152"/>
      <c r="B47" s="160"/>
      <c r="C47" s="160"/>
      <c r="D47" s="160"/>
      <c r="E47" s="160"/>
      <c r="F47" s="160"/>
      <c r="G47" s="158"/>
      <c r="H47" s="154"/>
      <c r="I47" s="154"/>
      <c r="J47" s="155"/>
      <c r="K47" s="155"/>
      <c r="L47" s="155"/>
      <c r="M47" s="157"/>
      <c r="N47" s="150"/>
    </row>
    <row r="48" spans="1:14" s="58" customFormat="1" x14ac:dyDescent="0.25">
      <c r="A48" s="123"/>
      <c r="B48" s="124"/>
      <c r="C48" s="124"/>
      <c r="D48" s="124"/>
      <c r="E48" s="124"/>
      <c r="F48" s="124"/>
      <c r="G48" s="125"/>
      <c r="H48" s="20"/>
      <c r="I48" s="20"/>
      <c r="M48" s="122"/>
      <c r="N48" s="150"/>
    </row>
    <row r="49" spans="1:15" s="58" customFormat="1" x14ac:dyDescent="0.25">
      <c r="A49" s="244" t="s">
        <v>138</v>
      </c>
      <c r="B49" s="245"/>
      <c r="C49" s="245"/>
      <c r="D49" s="245"/>
      <c r="E49" s="245"/>
      <c r="F49" s="246"/>
      <c r="G49" s="246"/>
      <c r="H49" s="246"/>
      <c r="I49" s="246"/>
      <c r="J49" s="247"/>
      <c r="K49" s="247"/>
      <c r="L49" s="247"/>
      <c r="M49" s="248"/>
      <c r="N49" s="150"/>
    </row>
    <row r="50" spans="1:15" s="58" customFormat="1" x14ac:dyDescent="0.25">
      <c r="A50" s="248" t="s">
        <v>139</v>
      </c>
      <c r="B50" s="245">
        <v>40000</v>
      </c>
      <c r="C50" s="245">
        <v>10000</v>
      </c>
      <c r="D50" s="245">
        <v>0</v>
      </c>
      <c r="E50" s="245">
        <f>SUM(B50:D50)</f>
        <v>50000</v>
      </c>
      <c r="F50" s="249">
        <v>10000</v>
      </c>
      <c r="G50" s="246"/>
      <c r="H50" s="250"/>
      <c r="I50" s="251"/>
      <c r="J50" s="252"/>
      <c r="K50" s="252"/>
      <c r="L50" s="252"/>
      <c r="M50" s="248" t="s">
        <v>140</v>
      </c>
      <c r="N50" s="150"/>
    </row>
    <row r="51" spans="1:15" s="58" customFormat="1" x14ac:dyDescent="0.25">
      <c r="A51" s="244" t="str">
        <f>CONCATENATE("Subtotal ",A49)</f>
        <v>Subtotal Demand Response Products</v>
      </c>
      <c r="B51" s="253">
        <f>SUM(B50:B50)</f>
        <v>40000</v>
      </c>
      <c r="C51" s="253">
        <f>SUM(C50:C50)</f>
        <v>10000</v>
      </c>
      <c r="D51" s="253">
        <f>SUM(D50:D50)</f>
        <v>0</v>
      </c>
      <c r="E51" s="253">
        <f>SUM(E50:E50)</f>
        <v>50000</v>
      </c>
      <c r="F51" s="253">
        <f>SUM(F50:F50)</f>
        <v>10000</v>
      </c>
      <c r="G51" s="254">
        <f>E51/$E$77</f>
        <v>2.7777777777777776E-2</v>
      </c>
      <c r="H51" s="246"/>
      <c r="I51" s="246"/>
      <c r="J51" s="255"/>
      <c r="K51" s="247"/>
      <c r="L51" s="247"/>
      <c r="M51" s="248"/>
      <c r="N51" s="150"/>
    </row>
    <row r="52" spans="1:15" s="58" customFormat="1" x14ac:dyDescent="0.25">
      <c r="A52" s="247"/>
      <c r="B52" s="245"/>
      <c r="C52" s="245"/>
      <c r="D52" s="245"/>
      <c r="E52" s="245"/>
      <c r="F52" s="253"/>
      <c r="G52" s="246"/>
      <c r="H52" s="246"/>
      <c r="I52" s="246"/>
      <c r="J52" s="247"/>
      <c r="K52" s="247"/>
      <c r="L52" s="247"/>
      <c r="M52" s="248"/>
      <c r="N52" s="150"/>
    </row>
    <row r="53" spans="1:15" x14ac:dyDescent="0.25">
      <c r="A53" s="126"/>
      <c r="B53" s="127"/>
      <c r="C53" s="127"/>
      <c r="D53" s="127"/>
      <c r="E53" s="127"/>
      <c r="F53" s="124"/>
      <c r="G53" s="22"/>
      <c r="H53" s="22"/>
      <c r="I53" s="22"/>
      <c r="L53" s="58"/>
      <c r="M53" s="126"/>
      <c r="N53" s="142"/>
      <c r="O53" s="1"/>
    </row>
    <row r="54" spans="1:15" s="58" customFormat="1" x14ac:dyDescent="0.25">
      <c r="A54" s="256" t="s">
        <v>233</v>
      </c>
      <c r="B54" s="257"/>
      <c r="C54" s="257"/>
      <c r="D54" s="257"/>
      <c r="E54" s="257"/>
      <c r="F54" s="258"/>
      <c r="G54" s="259"/>
      <c r="H54" s="259"/>
      <c r="I54" s="259"/>
      <c r="J54" s="260"/>
      <c r="K54" s="260"/>
      <c r="L54" s="260"/>
      <c r="M54" s="261"/>
      <c r="N54" s="150"/>
    </row>
    <row r="55" spans="1:15" s="58" customFormat="1" x14ac:dyDescent="0.25">
      <c r="A55" s="261" t="s">
        <v>141</v>
      </c>
      <c r="B55" s="257">
        <v>0</v>
      </c>
      <c r="C55" s="257">
        <v>0</v>
      </c>
      <c r="D55" s="257">
        <v>0</v>
      </c>
      <c r="E55" s="257">
        <f>SUM(B55:D55)</f>
        <v>0</v>
      </c>
      <c r="F55" s="257">
        <v>30000</v>
      </c>
      <c r="G55" s="259"/>
      <c r="H55" s="259"/>
      <c r="I55" s="259"/>
      <c r="J55" s="260"/>
      <c r="K55" s="260"/>
      <c r="L55" s="260"/>
      <c r="M55" s="261" t="s">
        <v>210</v>
      </c>
      <c r="N55" s="150"/>
    </row>
    <row r="56" spans="1:15" s="58" customFormat="1" x14ac:dyDescent="0.25">
      <c r="A56" s="261" t="s">
        <v>142</v>
      </c>
      <c r="B56" s="257">
        <v>50000</v>
      </c>
      <c r="C56" s="257">
        <v>0</v>
      </c>
      <c r="D56" s="257">
        <v>0</v>
      </c>
      <c r="E56" s="257">
        <f>SUM(B56:D56)</f>
        <v>50000</v>
      </c>
      <c r="F56" s="257">
        <v>15000</v>
      </c>
      <c r="G56" s="259" t="s">
        <v>93</v>
      </c>
      <c r="H56" s="259"/>
      <c r="I56" s="259"/>
      <c r="J56" s="260"/>
      <c r="K56" s="260"/>
      <c r="L56" s="260"/>
      <c r="M56" s="261" t="s">
        <v>143</v>
      </c>
      <c r="N56" s="150"/>
    </row>
    <row r="57" spans="1:15" s="58" customFormat="1" x14ac:dyDescent="0.25">
      <c r="A57" s="256" t="str">
        <f>CONCATENATE("Subtotal ",A54)</f>
        <v>Subtotal Website and Conservation Tracking</v>
      </c>
      <c r="B57" s="258">
        <f>SUM(B55:B56)</f>
        <v>50000</v>
      </c>
      <c r="C57" s="258">
        <f>SUM(C55:C56)</f>
        <v>0</v>
      </c>
      <c r="D57" s="258">
        <f>SUM(D55:D56)</f>
        <v>0</v>
      </c>
      <c r="E57" s="258">
        <f>SUM(E55:E56)</f>
        <v>50000</v>
      </c>
      <c r="F57" s="258">
        <f>SUM(F55:F56)</f>
        <v>45000</v>
      </c>
      <c r="G57" s="262">
        <f>E57/$E$77</f>
        <v>2.7777777777777776E-2</v>
      </c>
      <c r="H57" s="259"/>
      <c r="I57" s="259"/>
      <c r="J57" s="260"/>
      <c r="K57" s="260"/>
      <c r="L57" s="260"/>
      <c r="M57" s="261"/>
      <c r="N57" s="150"/>
    </row>
    <row r="58" spans="1:15" s="58" customFormat="1" x14ac:dyDescent="0.25">
      <c r="A58" s="256"/>
      <c r="B58" s="257"/>
      <c r="C58" s="257"/>
      <c r="D58" s="257"/>
      <c r="E58" s="257"/>
      <c r="F58" s="257"/>
      <c r="G58" s="259"/>
      <c r="H58" s="259"/>
      <c r="I58" s="259"/>
      <c r="J58" s="260"/>
      <c r="K58" s="260"/>
      <c r="L58" s="260"/>
      <c r="M58" s="261"/>
      <c r="N58" s="150"/>
    </row>
    <row r="59" spans="1:15" s="58" customFormat="1" x14ac:dyDescent="0.25">
      <c r="A59" s="261"/>
      <c r="B59" s="257"/>
      <c r="C59" s="257"/>
      <c r="D59" s="257"/>
      <c r="E59" s="257"/>
      <c r="F59" s="257"/>
      <c r="G59" s="259"/>
      <c r="H59" s="259"/>
      <c r="I59" s="259"/>
      <c r="J59" s="260"/>
      <c r="K59" s="260"/>
      <c r="L59" s="260"/>
      <c r="M59" s="261"/>
      <c r="N59" s="150"/>
    </row>
    <row r="60" spans="1:15" s="58" customFormat="1" x14ac:dyDescent="0.25">
      <c r="A60" s="256" t="s">
        <v>144</v>
      </c>
      <c r="B60" s="257"/>
      <c r="C60" s="257"/>
      <c r="D60" s="257"/>
      <c r="E60" s="257"/>
      <c r="F60" s="258"/>
      <c r="G60" s="259"/>
      <c r="H60" s="259"/>
      <c r="I60" s="259"/>
      <c r="J60" s="260"/>
      <c r="K60" s="260"/>
      <c r="L60" s="260"/>
      <c r="M60" s="261"/>
      <c r="N60" s="150"/>
    </row>
    <row r="61" spans="1:15" s="58" customFormat="1" x14ac:dyDescent="0.25">
      <c r="A61" s="261" t="s">
        <v>145</v>
      </c>
      <c r="B61" s="257">
        <v>33000</v>
      </c>
      <c r="C61" s="257">
        <v>0</v>
      </c>
      <c r="D61" s="257">
        <v>0</v>
      </c>
      <c r="E61" s="257">
        <f>SUM(B61:D61)</f>
        <v>33000</v>
      </c>
      <c r="F61" s="257">
        <v>10000</v>
      </c>
      <c r="G61" s="263"/>
      <c r="H61" s="263"/>
      <c r="I61" s="259"/>
      <c r="J61" s="260"/>
      <c r="K61" s="260"/>
      <c r="L61" s="260"/>
      <c r="M61" s="260" t="s">
        <v>209</v>
      </c>
      <c r="N61" s="150"/>
    </row>
    <row r="62" spans="1:15" s="58" customFormat="1" x14ac:dyDescent="0.25">
      <c r="A62" s="261" t="s">
        <v>146</v>
      </c>
      <c r="B62" s="257">
        <v>130000</v>
      </c>
      <c r="C62" s="257">
        <v>113000</v>
      </c>
      <c r="D62" s="257">
        <v>0</v>
      </c>
      <c r="E62" s="257">
        <f>SUM(B62:D62)</f>
        <v>243000</v>
      </c>
      <c r="F62" s="257">
        <v>0</v>
      </c>
      <c r="G62" s="262"/>
      <c r="H62" s="259"/>
      <c r="I62" s="259"/>
      <c r="J62" s="260"/>
      <c r="K62" s="260"/>
      <c r="L62" s="260"/>
      <c r="M62" s="261" t="s">
        <v>147</v>
      </c>
      <c r="N62" s="150"/>
    </row>
    <row r="63" spans="1:15" s="58" customFormat="1" x14ac:dyDescent="0.25">
      <c r="A63" s="256" t="str">
        <f>CONCATENATE("Subtotal ",A60)</f>
        <v>Subtotal RTF Meetings and Member Support</v>
      </c>
      <c r="B63" s="258">
        <f>SUM(B61:B62)</f>
        <v>163000</v>
      </c>
      <c r="C63" s="258">
        <f>SUM(C61:C62)</f>
        <v>113000</v>
      </c>
      <c r="D63" s="258">
        <f>SUM(D61:D62)</f>
        <v>0</v>
      </c>
      <c r="E63" s="258">
        <f>SUM(E61:E62)</f>
        <v>276000</v>
      </c>
      <c r="F63" s="258">
        <f>SUM(F61:F62)</f>
        <v>10000</v>
      </c>
      <c r="G63" s="262">
        <f>E63/$E$77</f>
        <v>0.15333333333333332</v>
      </c>
      <c r="H63" s="259"/>
      <c r="I63" s="259"/>
      <c r="J63" s="260"/>
      <c r="K63" s="260"/>
      <c r="L63" s="260"/>
      <c r="M63" s="260"/>
      <c r="N63" s="150"/>
    </row>
    <row r="64" spans="1:15" s="58" customFormat="1" x14ac:dyDescent="0.25">
      <c r="A64" s="260"/>
      <c r="B64" s="257"/>
      <c r="C64" s="257"/>
      <c r="D64" s="257"/>
      <c r="E64" s="257"/>
      <c r="F64" s="257"/>
      <c r="G64" s="259"/>
      <c r="H64" s="259"/>
      <c r="I64" s="259"/>
      <c r="J64" s="260"/>
      <c r="K64" s="260"/>
      <c r="L64" s="260"/>
      <c r="M64" s="260"/>
      <c r="N64" s="150"/>
    </row>
    <row r="65" spans="1:26" s="58" customFormat="1" x14ac:dyDescent="0.25">
      <c r="A65" s="260"/>
      <c r="B65" s="257"/>
      <c r="C65" s="257"/>
      <c r="D65" s="257"/>
      <c r="E65" s="257"/>
      <c r="F65" s="257"/>
      <c r="G65" s="259"/>
      <c r="H65" s="259"/>
      <c r="I65" s="259"/>
      <c r="J65" s="260"/>
      <c r="K65" s="260"/>
      <c r="L65" s="260"/>
      <c r="M65" s="260"/>
      <c r="N65" s="150"/>
    </row>
    <row r="66" spans="1:26" s="58" customFormat="1" x14ac:dyDescent="0.25">
      <c r="A66" s="256" t="s">
        <v>148</v>
      </c>
      <c r="B66" s="257"/>
      <c r="C66" s="257"/>
      <c r="D66" s="257"/>
      <c r="E66" s="257"/>
      <c r="F66" s="257"/>
      <c r="G66" s="259"/>
      <c r="H66" s="264"/>
      <c r="I66" s="264"/>
      <c r="J66" s="264"/>
      <c r="K66" s="264"/>
      <c r="L66" s="260"/>
      <c r="M66" s="260"/>
      <c r="N66" s="150"/>
    </row>
    <row r="67" spans="1:26" s="58" customFormat="1" x14ac:dyDescent="0.25">
      <c r="A67" s="261" t="s">
        <v>149</v>
      </c>
      <c r="B67" s="257">
        <v>0</v>
      </c>
      <c r="C67" s="257">
        <v>0</v>
      </c>
      <c r="D67" s="257">
        <f>170000*K67</f>
        <v>25500</v>
      </c>
      <c r="E67" s="257">
        <f>SUM(B67:D67)</f>
        <v>25500</v>
      </c>
      <c r="F67" s="257">
        <v>5000</v>
      </c>
      <c r="G67" s="259"/>
      <c r="H67" s="259"/>
      <c r="I67" s="260"/>
      <c r="J67" s="260"/>
      <c r="K67" s="265">
        <v>0.15</v>
      </c>
      <c r="L67" s="260"/>
      <c r="M67" s="260" t="s">
        <v>150</v>
      </c>
      <c r="N67" s="150"/>
    </row>
    <row r="68" spans="1:26" s="58" customFormat="1" x14ac:dyDescent="0.25">
      <c r="A68" s="261" t="s">
        <v>151</v>
      </c>
      <c r="B68" s="257">
        <v>0</v>
      </c>
      <c r="C68" s="257">
        <v>0</v>
      </c>
      <c r="D68" s="257">
        <f t="shared" ref="D68:D72" si="15">170000*K68</f>
        <v>42500</v>
      </c>
      <c r="E68" s="257">
        <f>SUM(B68:D68)</f>
        <v>42500</v>
      </c>
      <c r="F68" s="257">
        <v>0</v>
      </c>
      <c r="G68" s="266"/>
      <c r="H68" s="263"/>
      <c r="I68" s="260"/>
      <c r="J68" s="260"/>
      <c r="K68" s="265">
        <v>0.25</v>
      </c>
      <c r="L68" s="260"/>
      <c r="M68" s="260" t="s">
        <v>152</v>
      </c>
      <c r="N68" s="150"/>
    </row>
    <row r="69" spans="1:26" s="58" customFormat="1" x14ac:dyDescent="0.25">
      <c r="A69" s="261" t="s">
        <v>153</v>
      </c>
      <c r="B69" s="257">
        <v>4000</v>
      </c>
      <c r="C69" s="257">
        <v>0</v>
      </c>
      <c r="D69" s="257">
        <f t="shared" si="15"/>
        <v>25500</v>
      </c>
      <c r="E69" s="257">
        <f t="shared" ref="E69:E72" si="16">SUM(B69:D69)</f>
        <v>29500</v>
      </c>
      <c r="F69" s="257">
        <v>50000</v>
      </c>
      <c r="G69" s="266"/>
      <c r="H69" s="266"/>
      <c r="I69" s="260"/>
      <c r="J69" s="267"/>
      <c r="K69" s="265">
        <v>0.15</v>
      </c>
      <c r="L69" s="260"/>
      <c r="M69" s="260" t="s">
        <v>154</v>
      </c>
      <c r="N69" s="150"/>
    </row>
    <row r="70" spans="1:26" s="58" customFormat="1" x14ac:dyDescent="0.25">
      <c r="A70" s="261" t="s">
        <v>155</v>
      </c>
      <c r="B70" s="257">
        <v>0</v>
      </c>
      <c r="C70" s="257">
        <v>0</v>
      </c>
      <c r="D70" s="257">
        <f t="shared" si="15"/>
        <v>34000</v>
      </c>
      <c r="E70" s="257">
        <f t="shared" si="16"/>
        <v>34000</v>
      </c>
      <c r="F70" s="257">
        <v>1000</v>
      </c>
      <c r="G70" s="259"/>
      <c r="H70" s="259"/>
      <c r="I70" s="260"/>
      <c r="J70" s="260"/>
      <c r="K70" s="265">
        <v>0.2</v>
      </c>
      <c r="L70" s="260"/>
      <c r="M70" s="260" t="s">
        <v>156</v>
      </c>
      <c r="N70" s="150"/>
    </row>
    <row r="71" spans="1:26" s="58" customFormat="1" x14ac:dyDescent="0.25">
      <c r="A71" s="261" t="s">
        <v>157</v>
      </c>
      <c r="B71" s="257">
        <v>0</v>
      </c>
      <c r="C71" s="257">
        <v>0</v>
      </c>
      <c r="D71" s="257">
        <f t="shared" si="15"/>
        <v>8500</v>
      </c>
      <c r="E71" s="257">
        <f t="shared" si="16"/>
        <v>8500</v>
      </c>
      <c r="F71" s="257">
        <v>500</v>
      </c>
      <c r="G71" s="266"/>
      <c r="H71" s="263"/>
      <c r="I71" s="260"/>
      <c r="J71" s="260"/>
      <c r="K71" s="265">
        <v>0.05</v>
      </c>
      <c r="L71" s="260"/>
      <c r="M71" s="260" t="s">
        <v>158</v>
      </c>
      <c r="N71" s="150"/>
    </row>
    <row r="72" spans="1:26" s="58" customFormat="1" x14ac:dyDescent="0.25">
      <c r="A72" s="261" t="s">
        <v>159</v>
      </c>
      <c r="B72" s="257">
        <v>0</v>
      </c>
      <c r="C72" s="257">
        <v>0</v>
      </c>
      <c r="D72" s="257">
        <f t="shared" si="15"/>
        <v>34000</v>
      </c>
      <c r="E72" s="257">
        <f t="shared" si="16"/>
        <v>34000</v>
      </c>
      <c r="F72" s="257">
        <v>10000</v>
      </c>
      <c r="G72" s="266"/>
      <c r="H72" s="263"/>
      <c r="I72" s="260"/>
      <c r="J72" s="260"/>
      <c r="K72" s="265">
        <v>0.2</v>
      </c>
      <c r="L72" s="260"/>
      <c r="M72" s="260" t="s">
        <v>160</v>
      </c>
      <c r="N72" s="150"/>
    </row>
    <row r="73" spans="1:26" s="58" customFormat="1" x14ac:dyDescent="0.25">
      <c r="A73" s="261" t="s">
        <v>51</v>
      </c>
      <c r="B73" s="257">
        <v>0</v>
      </c>
      <c r="C73" s="257">
        <v>0</v>
      </c>
      <c r="D73" s="257">
        <v>4000</v>
      </c>
      <c r="E73" s="257">
        <f>SUM(B73:D73)</f>
        <v>4000</v>
      </c>
      <c r="F73" s="257">
        <v>0</v>
      </c>
      <c r="G73" s="266"/>
      <c r="H73" s="263"/>
      <c r="I73" s="260"/>
      <c r="J73" s="260"/>
      <c r="K73" s="265"/>
      <c r="L73" s="260"/>
      <c r="M73" s="260" t="s">
        <v>161</v>
      </c>
      <c r="N73" s="150"/>
    </row>
    <row r="74" spans="1:26" s="58" customFormat="1" x14ac:dyDescent="0.25">
      <c r="A74" s="256" t="str">
        <f>CONCATENATE("Subtotal ",A66)</f>
        <v>Subtotal RTF Management</v>
      </c>
      <c r="B74" s="258">
        <f>SUM(B67:B73)</f>
        <v>4000</v>
      </c>
      <c r="C74" s="258">
        <f>SUM(C67:C73)</f>
        <v>0</v>
      </c>
      <c r="D74" s="258">
        <f>SUM(D67:D73)</f>
        <v>174000</v>
      </c>
      <c r="E74" s="258">
        <f>SUM(E67:E73)</f>
        <v>178000</v>
      </c>
      <c r="F74" s="258">
        <f>SUM(F67:F73)</f>
        <v>66500</v>
      </c>
      <c r="G74" s="262">
        <f>E74/$E$77</f>
        <v>9.8888888888888887E-2</v>
      </c>
      <c r="H74" s="259"/>
      <c r="I74" s="260"/>
      <c r="J74" s="260"/>
      <c r="K74" s="268">
        <f>SUM(K67:K72)</f>
        <v>1</v>
      </c>
      <c r="L74" s="260"/>
      <c r="M74" s="260"/>
      <c r="N74" s="150"/>
    </row>
    <row r="75" spans="1:26" s="58" customFormat="1" x14ac:dyDescent="0.25">
      <c r="A75" s="260"/>
      <c r="B75" s="260"/>
      <c r="C75" s="260"/>
      <c r="D75" s="260"/>
      <c r="E75" s="260"/>
      <c r="F75" s="260"/>
      <c r="G75" s="260"/>
      <c r="H75" s="260"/>
      <c r="I75" s="260"/>
      <c r="J75" s="260"/>
      <c r="K75" s="260"/>
      <c r="L75" s="260"/>
      <c r="M75" s="260"/>
      <c r="N75" s="150"/>
    </row>
    <row r="76" spans="1:26" x14ac:dyDescent="0.25">
      <c r="N76" s="142"/>
      <c r="O76" s="1"/>
    </row>
    <row r="77" spans="1:26" x14ac:dyDescent="0.25">
      <c r="A77" s="128" t="s">
        <v>162</v>
      </c>
      <c r="B77" s="129">
        <f>SUM(B10,B19,B27,B36,B51,B46,B57,B63,B74)</f>
        <v>433000</v>
      </c>
      <c r="C77" s="129">
        <f>SUM(C10,C19,C27,C36,C51,C46,C57,C63,C74)</f>
        <v>1193000</v>
      </c>
      <c r="D77" s="129">
        <f>SUM(D10,D19,D27,D36,D51,D46,D57,D63,D74)</f>
        <v>174000</v>
      </c>
      <c r="E77" s="129">
        <f>SUM(E10,E19,E27,E36,E51,E46,E57,E63,E74)</f>
        <v>1800000</v>
      </c>
      <c r="F77" s="129">
        <f>SUM(F10,F19,F27,F36,F51,F46,F57,F63,F74)</f>
        <v>185600</v>
      </c>
      <c r="G77" s="130">
        <f>SUM(G5:G76)</f>
        <v>1</v>
      </c>
      <c r="H77" s="131"/>
      <c r="I77" s="131"/>
      <c r="J77" s="131"/>
      <c r="K77" s="131"/>
      <c r="L77" s="131"/>
      <c r="M77" s="131"/>
      <c r="N77" s="151"/>
      <c r="O77" s="131"/>
      <c r="P77" s="131"/>
      <c r="Q77" s="131"/>
      <c r="R77" s="131"/>
      <c r="S77" s="131"/>
      <c r="T77" s="131"/>
      <c r="U77" s="131"/>
      <c r="V77" s="131"/>
      <c r="W77" s="131"/>
      <c r="X77" s="131"/>
      <c r="Y77" s="131"/>
      <c r="Z77" s="131"/>
    </row>
    <row r="78" spans="1:26" x14ac:dyDescent="0.25">
      <c r="F78" s="132"/>
      <c r="G78" s="133"/>
    </row>
    <row r="79" spans="1:26" x14ac:dyDescent="0.25">
      <c r="A79" s="167" t="s">
        <v>163</v>
      </c>
      <c r="B79" s="168"/>
      <c r="D79"/>
      <c r="E79"/>
      <c r="F79"/>
      <c r="G79"/>
      <c r="H79"/>
      <c r="O79" s="1"/>
    </row>
    <row r="80" spans="1:26" x14ac:dyDescent="0.25">
      <c r="A80" s="135" t="s">
        <v>164</v>
      </c>
      <c r="B80" s="136">
        <f>B77/$E$77</f>
        <v>0.24055555555555555</v>
      </c>
      <c r="D80"/>
      <c r="E80"/>
      <c r="F80"/>
      <c r="G80"/>
      <c r="H80"/>
      <c r="O80" s="1"/>
    </row>
    <row r="81" spans="1:15" x14ac:dyDescent="0.25">
      <c r="A81" s="137" t="s">
        <v>165</v>
      </c>
      <c r="B81" s="138">
        <f>C77/$E$77</f>
        <v>0.6627777777777778</v>
      </c>
      <c r="D81"/>
      <c r="E81"/>
      <c r="F81"/>
      <c r="G81"/>
      <c r="H81"/>
      <c r="I81" s="6"/>
    </row>
    <row r="82" spans="1:15" x14ac:dyDescent="0.25">
      <c r="A82" s="137" t="s">
        <v>166</v>
      </c>
      <c r="B82" s="138">
        <f>D77/E77</f>
        <v>9.6666666666666665E-2</v>
      </c>
      <c r="C82" s="55"/>
      <c r="D82"/>
      <c r="E82"/>
      <c r="F82"/>
      <c r="G82"/>
      <c r="H82"/>
      <c r="O82" s="1"/>
    </row>
    <row r="83" spans="1:15" x14ac:dyDescent="0.25">
      <c r="A83" s="137" t="s">
        <v>167</v>
      </c>
      <c r="B83" s="139">
        <f>B10+B19</f>
        <v>136000</v>
      </c>
      <c r="D83"/>
      <c r="E83"/>
      <c r="F83"/>
      <c r="G83"/>
      <c r="H83"/>
      <c r="J83" s="57"/>
      <c r="O83" s="1"/>
    </row>
    <row r="84" spans="1:15" x14ac:dyDescent="0.25">
      <c r="A84" s="169" t="s">
        <v>168</v>
      </c>
      <c r="B84" s="170">
        <f>C77/200000</f>
        <v>5.9649999999999999</v>
      </c>
      <c r="D84"/>
      <c r="E84"/>
      <c r="F84"/>
      <c r="G84"/>
      <c r="H84" s="58"/>
      <c r="O84" s="1"/>
    </row>
    <row r="85" spans="1:15" x14ac:dyDescent="0.25">
      <c r="A85" s="140" t="s">
        <v>169</v>
      </c>
      <c r="B85" s="141">
        <f>F77/'NPCC Contribution'!C2</f>
        <v>1.0545454545454545</v>
      </c>
      <c r="D85"/>
      <c r="E85"/>
      <c r="F85"/>
      <c r="G85"/>
      <c r="H85" s="58"/>
    </row>
    <row r="86" spans="1:15" x14ac:dyDescent="0.25">
      <c r="D86"/>
      <c r="E86"/>
      <c r="F86"/>
      <c r="G86"/>
      <c r="H86" s="58"/>
    </row>
    <row r="87" spans="1:15" x14ac:dyDescent="0.25">
      <c r="D87"/>
      <c r="E87"/>
      <c r="F87"/>
      <c r="G87"/>
      <c r="H87" s="58"/>
    </row>
    <row r="88" spans="1:15" x14ac:dyDescent="0.25">
      <c r="D88" s="58"/>
      <c r="E88" s="58"/>
      <c r="F88" s="58"/>
      <c r="G88" s="58"/>
      <c r="H88" s="58"/>
    </row>
    <row r="89" spans="1:15" x14ac:dyDescent="0.25">
      <c r="D89" s="58"/>
      <c r="E89" s="58"/>
      <c r="F89" s="58"/>
      <c r="G89" s="58"/>
      <c r="H89" s="58"/>
    </row>
    <row r="90" spans="1:15" x14ac:dyDescent="0.25">
      <c r="D90" s="58"/>
      <c r="E90" s="58"/>
      <c r="F90" s="58"/>
      <c r="G90" s="58"/>
      <c r="H90" s="58"/>
    </row>
    <row r="91" spans="1:15" x14ac:dyDescent="0.25">
      <c r="D91" s="58"/>
      <c r="E91" s="58"/>
      <c r="F91" s="58"/>
      <c r="G91" s="58"/>
      <c r="H91" s="58"/>
      <c r="M91" s="57"/>
    </row>
    <row r="92" spans="1:15" x14ac:dyDescent="0.25">
      <c r="F92" s="58"/>
    </row>
    <row r="93" spans="1:15" x14ac:dyDescent="0.25">
      <c r="F93" s="58"/>
    </row>
    <row r="94" spans="1:15" x14ac:dyDescent="0.25">
      <c r="F94" s="58"/>
    </row>
  </sheetData>
  <mergeCells count="1">
    <mergeCell ref="H3:L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67A8-C11A-411B-91E1-DD417D01E546}">
  <dimension ref="A1:AJ71"/>
  <sheetViews>
    <sheetView tabSelected="1" workbookViewId="0"/>
  </sheetViews>
  <sheetFormatPr defaultColWidth="8.85546875" defaultRowHeight="15.75" x14ac:dyDescent="0.25"/>
  <cols>
    <col min="1" max="1" width="51" style="1" bestFit="1" customWidth="1"/>
    <col min="2" max="6" width="13.85546875" style="1" customWidth="1"/>
    <col min="7" max="7" width="10" style="1" customWidth="1"/>
    <col min="8" max="12" width="13.85546875" style="1" customWidth="1"/>
    <col min="13" max="13" width="10" style="1" customWidth="1"/>
    <col min="14" max="18" width="13.85546875" style="1" customWidth="1"/>
    <col min="19" max="19" width="10" style="1" customWidth="1"/>
    <col min="20" max="23" width="13.85546875" style="1" customWidth="1"/>
    <col min="24" max="24" width="14" style="1" customWidth="1"/>
    <col min="25" max="25" width="10" style="1" customWidth="1"/>
    <col min="26" max="30" width="13.85546875" style="1" customWidth="1"/>
    <col min="31" max="31" width="10" style="1" customWidth="1"/>
    <col min="32" max="32" width="35.42578125" style="1" customWidth="1"/>
    <col min="33" max="35" width="13.85546875" style="1" customWidth="1"/>
    <col min="36" max="36" width="105" style="1" customWidth="1"/>
    <col min="37" max="16384" width="8.85546875" style="1"/>
  </cols>
  <sheetData>
    <row r="1" spans="1:36" ht="18.75" x14ac:dyDescent="0.3">
      <c r="A1" s="171" t="s">
        <v>170</v>
      </c>
      <c r="B1" s="172"/>
    </row>
    <row r="2" spans="1:36" x14ac:dyDescent="0.25">
      <c r="A2" s="173" t="str">
        <f>'Table of Contents'!A2</f>
        <v>Final 2020 RTF Work Plan, Approved by the Council on October 16, 2019</v>
      </c>
      <c r="H2" s="174"/>
      <c r="I2" s="174"/>
      <c r="J2" s="175"/>
      <c r="N2" s="174"/>
      <c r="O2" s="174"/>
      <c r="P2" s="175"/>
      <c r="T2" s="174"/>
      <c r="U2" s="174"/>
      <c r="V2" s="175"/>
      <c r="Z2" s="174"/>
      <c r="AA2" s="174"/>
      <c r="AB2" s="175"/>
    </row>
    <row r="3" spans="1:36" x14ac:dyDescent="0.25">
      <c r="A3"/>
      <c r="H3" s="176"/>
      <c r="I3" s="176" t="s">
        <v>171</v>
      </c>
      <c r="J3" s="177">
        <v>2.5000000000000001E-2</v>
      </c>
      <c r="N3" s="176"/>
      <c r="O3" s="176" t="s">
        <v>171</v>
      </c>
      <c r="P3" s="177">
        <f>J3</f>
        <v>2.5000000000000001E-2</v>
      </c>
      <c r="T3" s="176"/>
      <c r="U3" s="176" t="s">
        <v>171</v>
      </c>
      <c r="V3" s="177">
        <f>P3</f>
        <v>2.5000000000000001E-2</v>
      </c>
      <c r="X3" s="14"/>
      <c r="Y3" s="14"/>
      <c r="Z3" s="176"/>
      <c r="AA3" s="176" t="s">
        <v>171</v>
      </c>
      <c r="AB3" s="177">
        <f>V3</f>
        <v>2.5000000000000001E-2</v>
      </c>
    </row>
    <row r="4" spans="1:36" x14ac:dyDescent="0.25">
      <c r="B4" s="380" t="s">
        <v>172</v>
      </c>
      <c r="C4" s="381"/>
      <c r="D4" s="381"/>
      <c r="E4" s="381"/>
      <c r="F4" s="381"/>
      <c r="H4" s="380" t="s">
        <v>173</v>
      </c>
      <c r="I4" s="381"/>
      <c r="J4" s="381"/>
      <c r="K4" s="381"/>
      <c r="L4" s="382"/>
      <c r="N4" s="380" t="s">
        <v>174</v>
      </c>
      <c r="O4" s="381"/>
      <c r="P4" s="381"/>
      <c r="Q4" s="381"/>
      <c r="R4" s="381"/>
      <c r="T4" s="380" t="s">
        <v>175</v>
      </c>
      <c r="U4" s="381"/>
      <c r="V4" s="381"/>
      <c r="W4" s="381"/>
      <c r="X4" s="381"/>
      <c r="Y4" s="178"/>
      <c r="Z4" s="383" t="s">
        <v>176</v>
      </c>
      <c r="AA4" s="381"/>
      <c r="AB4" s="381"/>
      <c r="AC4" s="381"/>
      <c r="AD4" s="381"/>
    </row>
    <row r="5" spans="1:36" ht="47.25" x14ac:dyDescent="0.25">
      <c r="A5" s="179" t="s">
        <v>177</v>
      </c>
      <c r="B5" s="180" t="s">
        <v>74</v>
      </c>
      <c r="C5" s="180" t="s">
        <v>75</v>
      </c>
      <c r="D5" s="181" t="s">
        <v>76</v>
      </c>
      <c r="E5" s="182" t="s">
        <v>178</v>
      </c>
      <c r="F5" s="183" t="s">
        <v>208</v>
      </c>
      <c r="H5" s="180" t="str">
        <f>B5</f>
        <v>Contract RFP</v>
      </c>
      <c r="I5" s="180" t="str">
        <f>C5</f>
        <v>Contract Analyst Team</v>
      </c>
      <c r="J5" s="180" t="str">
        <f>D5</f>
        <v>RTF Manager</v>
      </c>
      <c r="K5" s="180" t="str">
        <f>E5</f>
        <v>Subtotal Funders</v>
      </c>
      <c r="L5" s="180" t="str">
        <f>F5</f>
        <v>Council Staff Contribution</v>
      </c>
      <c r="N5" s="180" t="str">
        <f>H5</f>
        <v>Contract RFP</v>
      </c>
      <c r="O5" s="180" t="str">
        <f>I5</f>
        <v>Contract Analyst Team</v>
      </c>
      <c r="P5" s="180" t="str">
        <f>J5</f>
        <v>RTF Manager</v>
      </c>
      <c r="Q5" s="180" t="str">
        <f>K5</f>
        <v>Subtotal Funders</v>
      </c>
      <c r="R5" s="180" t="str">
        <f>L5</f>
        <v>Council Staff Contribution</v>
      </c>
      <c r="T5" s="180" t="str">
        <f>N5</f>
        <v>Contract RFP</v>
      </c>
      <c r="U5" s="180" t="str">
        <f>O5</f>
        <v>Contract Analyst Team</v>
      </c>
      <c r="V5" s="180" t="str">
        <f>P5</f>
        <v>RTF Manager</v>
      </c>
      <c r="W5" s="180" t="str">
        <f>Q5</f>
        <v>Subtotal Funders</v>
      </c>
      <c r="X5" s="180" t="str">
        <f>R5</f>
        <v>Council Staff Contribution</v>
      </c>
      <c r="Z5" s="180" t="str">
        <f>T5</f>
        <v>Contract RFP</v>
      </c>
      <c r="AA5" s="180" t="str">
        <f>U5</f>
        <v>Contract Analyst Team</v>
      </c>
      <c r="AB5" s="180" t="str">
        <f>V5</f>
        <v>RTF Manager</v>
      </c>
      <c r="AC5" s="180" t="str">
        <f>W5</f>
        <v>Subtotal Funders</v>
      </c>
      <c r="AD5" s="180" t="str">
        <f>X5</f>
        <v>Council Staff Contribution</v>
      </c>
      <c r="AF5" s="179" t="s">
        <v>179</v>
      </c>
      <c r="AG5" s="180">
        <v>2020</v>
      </c>
      <c r="AH5" s="180" t="s">
        <v>180</v>
      </c>
      <c r="AI5" s="180" t="s">
        <v>181</v>
      </c>
      <c r="AJ5" s="185" t="s">
        <v>84</v>
      </c>
    </row>
    <row r="6" spans="1:36" ht="38.25" customHeight="1" x14ac:dyDescent="0.25">
      <c r="A6" s="269" t="str">
        <f>'Category (2020)'!A6</f>
        <v>Existing Measure Maintenance</v>
      </c>
      <c r="B6" s="270">
        <f>'Category (2020)'!B6</f>
        <v>92000</v>
      </c>
      <c r="C6" s="270">
        <f>'Category (2020)'!C6</f>
        <v>345000</v>
      </c>
      <c r="D6" s="270">
        <f>'Category (2020)'!D6</f>
        <v>0</v>
      </c>
      <c r="E6" s="271">
        <f>SUM(B6:D6)</f>
        <v>437000</v>
      </c>
      <c r="F6" s="270">
        <f>'Category (2020)'!F6</f>
        <v>9700</v>
      </c>
      <c r="H6" s="270">
        <v>106400</v>
      </c>
      <c r="I6" s="270">
        <v>399800</v>
      </c>
      <c r="J6" s="270">
        <v>0</v>
      </c>
      <c r="K6" s="271">
        <f>SUM(H6:J6)</f>
        <v>506200</v>
      </c>
      <c r="L6" s="272">
        <v>9900</v>
      </c>
      <c r="N6" s="270">
        <v>67200</v>
      </c>
      <c r="O6" s="270">
        <v>252200</v>
      </c>
      <c r="P6" s="270">
        <v>0</v>
      </c>
      <c r="Q6" s="271">
        <f>SUM(N6:P6)</f>
        <v>319400</v>
      </c>
      <c r="R6" s="272">
        <v>10200</v>
      </c>
      <c r="T6" s="270">
        <v>90500</v>
      </c>
      <c r="U6" s="270">
        <v>339300</v>
      </c>
      <c r="V6" s="270">
        <v>0</v>
      </c>
      <c r="W6" s="271">
        <f>SUM(T6:V6)</f>
        <v>429800</v>
      </c>
      <c r="X6" s="272">
        <v>10400</v>
      </c>
      <c r="Z6" s="270">
        <v>106000</v>
      </c>
      <c r="AA6" s="270">
        <v>397400</v>
      </c>
      <c r="AB6" s="270">
        <v>0</v>
      </c>
      <c r="AC6" s="271">
        <f>SUM(Z6:AB6)</f>
        <v>503400</v>
      </c>
      <c r="AD6" s="272">
        <v>10700</v>
      </c>
      <c r="AF6" s="190" t="s">
        <v>182</v>
      </c>
      <c r="AG6" s="191">
        <f>SUM(E6:E8)</f>
        <v>971000</v>
      </c>
      <c r="AH6" s="191">
        <f>SUM(AC6:AC8)</f>
        <v>1029900</v>
      </c>
      <c r="AI6" s="191">
        <f>AH6-AG6</f>
        <v>58900</v>
      </c>
      <c r="AJ6" s="192" t="s">
        <v>183</v>
      </c>
    </row>
    <row r="7" spans="1:36" ht="38.25" customHeight="1" x14ac:dyDescent="0.25">
      <c r="A7" s="269" t="str">
        <f>'Category (2020)'!A7</f>
        <v>New Measure Development</v>
      </c>
      <c r="B7" s="270">
        <f>'Category (2020)'!B7</f>
        <v>44000</v>
      </c>
      <c r="C7" s="270">
        <f>'Category (2020)'!C7</f>
        <v>220000</v>
      </c>
      <c r="D7" s="270">
        <f>'Category (2020)'!D7</f>
        <v>0</v>
      </c>
      <c r="E7" s="271">
        <f t="shared" ref="E7:E14" si="0">SUM(B7:D7)</f>
        <v>264000</v>
      </c>
      <c r="F7" s="272">
        <f>'Category (2020)'!F7</f>
        <v>4400</v>
      </c>
      <c r="H7" s="270">
        <v>41000</v>
      </c>
      <c r="I7" s="270">
        <v>174300</v>
      </c>
      <c r="J7" s="270">
        <v>0</v>
      </c>
      <c r="K7" s="271">
        <f t="shared" ref="K7:K14" si="1">SUM(H7:J7)</f>
        <v>215300</v>
      </c>
      <c r="L7" s="272">
        <v>4500</v>
      </c>
      <c r="N7" s="270">
        <v>54600</v>
      </c>
      <c r="O7" s="270">
        <v>257400</v>
      </c>
      <c r="P7" s="270">
        <v>0</v>
      </c>
      <c r="Q7" s="271">
        <f t="shared" ref="Q7:Q14" si="2">SUM(N7:P7)</f>
        <v>312000</v>
      </c>
      <c r="R7" s="272">
        <v>4600</v>
      </c>
      <c r="T7" s="270">
        <v>51700</v>
      </c>
      <c r="U7" s="270">
        <v>236900</v>
      </c>
      <c r="V7" s="270">
        <v>0</v>
      </c>
      <c r="W7" s="271">
        <f t="shared" ref="W7:W14" si="3">SUM(T7:V7)</f>
        <v>288600</v>
      </c>
      <c r="X7" s="272">
        <v>4700</v>
      </c>
      <c r="Z7" s="270">
        <v>57400</v>
      </c>
      <c r="AA7" s="270">
        <v>270400</v>
      </c>
      <c r="AB7" s="270">
        <v>0</v>
      </c>
      <c r="AC7" s="271">
        <f t="shared" ref="AC7:AC14" si="4">SUM(Z7:AB7)</f>
        <v>327800</v>
      </c>
      <c r="AD7" s="272">
        <v>4900</v>
      </c>
      <c r="AF7" s="190" t="s">
        <v>114</v>
      </c>
      <c r="AG7" s="191">
        <f>E9</f>
        <v>120000</v>
      </c>
      <c r="AH7" s="191">
        <f>AC9</f>
        <v>130200</v>
      </c>
      <c r="AI7" s="191">
        <f t="shared" ref="AI7:AI10" si="5">AH7-AG7</f>
        <v>10200</v>
      </c>
      <c r="AJ7" s="192" t="s">
        <v>184</v>
      </c>
    </row>
    <row r="8" spans="1:36" ht="38.25" customHeight="1" x14ac:dyDescent="0.25">
      <c r="A8" s="269" t="str">
        <f>'Category (2020)'!A8</f>
        <v>Standardization of Technical Analysis</v>
      </c>
      <c r="B8" s="270">
        <f>'Category (2020)'!B8</f>
        <v>40000</v>
      </c>
      <c r="C8" s="270">
        <f>'Category (2020)'!C8</f>
        <v>230000</v>
      </c>
      <c r="D8" s="270">
        <f>'Category (2020)'!D8</f>
        <v>0</v>
      </c>
      <c r="E8" s="271">
        <f t="shared" si="0"/>
        <v>270000</v>
      </c>
      <c r="F8" s="272">
        <f>'Category (2020)'!F8</f>
        <v>1500</v>
      </c>
      <c r="H8" s="270">
        <v>0</v>
      </c>
      <c r="I8" s="270">
        <v>194800</v>
      </c>
      <c r="J8" s="270">
        <v>0</v>
      </c>
      <c r="K8" s="271">
        <f t="shared" si="1"/>
        <v>194800</v>
      </c>
      <c r="L8" s="272">
        <v>1500</v>
      </c>
      <c r="N8" s="270">
        <v>21000</v>
      </c>
      <c r="O8" s="270">
        <v>231100</v>
      </c>
      <c r="P8" s="270">
        <v>0</v>
      </c>
      <c r="Q8" s="271">
        <f t="shared" si="2"/>
        <v>252100</v>
      </c>
      <c r="R8" s="272">
        <v>1600</v>
      </c>
      <c r="T8" s="270">
        <v>0</v>
      </c>
      <c r="U8" s="270">
        <v>210000</v>
      </c>
      <c r="V8" s="270">
        <v>0</v>
      </c>
      <c r="W8" s="271">
        <f t="shared" si="3"/>
        <v>210000</v>
      </c>
      <c r="X8" s="272">
        <v>1600</v>
      </c>
      <c r="Z8" s="270">
        <v>0</v>
      </c>
      <c r="AA8" s="270">
        <v>198700</v>
      </c>
      <c r="AB8" s="270">
        <v>0</v>
      </c>
      <c r="AC8" s="271">
        <f t="shared" si="4"/>
        <v>198700</v>
      </c>
      <c r="AD8" s="272">
        <v>1700</v>
      </c>
      <c r="AE8" s="6"/>
      <c r="AF8" s="190" t="s">
        <v>126</v>
      </c>
      <c r="AG8" s="191">
        <f>E10</f>
        <v>155000</v>
      </c>
      <c r="AH8" s="191">
        <f>AC10</f>
        <v>215200</v>
      </c>
      <c r="AI8" s="191">
        <f t="shared" si="5"/>
        <v>60200</v>
      </c>
      <c r="AJ8" s="192" t="s">
        <v>185</v>
      </c>
    </row>
    <row r="9" spans="1:36" ht="38.25" customHeight="1" x14ac:dyDescent="0.25">
      <c r="A9" s="186" t="str">
        <f>'Category (2020)'!A9</f>
        <v>Tool Development</v>
      </c>
      <c r="B9" s="187">
        <f>'Category (2020)'!B9</f>
        <v>0</v>
      </c>
      <c r="C9" s="187">
        <f>'Category (2020)'!C9</f>
        <v>120000</v>
      </c>
      <c r="D9" s="187">
        <f>'Category (2020)'!D9</f>
        <v>0</v>
      </c>
      <c r="E9" s="188">
        <f t="shared" si="0"/>
        <v>120000</v>
      </c>
      <c r="F9" s="189">
        <f>'Category (2020)'!F9</f>
        <v>16500</v>
      </c>
      <c r="H9" s="187">
        <v>25600</v>
      </c>
      <c r="I9" s="187">
        <v>140400</v>
      </c>
      <c r="J9" s="187">
        <v>0</v>
      </c>
      <c r="K9" s="188">
        <f t="shared" si="1"/>
        <v>166000</v>
      </c>
      <c r="L9" s="189">
        <v>16900</v>
      </c>
      <c r="N9" s="187">
        <v>26300</v>
      </c>
      <c r="O9" s="187">
        <v>99800</v>
      </c>
      <c r="P9" s="187">
        <v>0</v>
      </c>
      <c r="Q9" s="188">
        <f t="shared" si="2"/>
        <v>126100</v>
      </c>
      <c r="R9" s="189">
        <v>17300</v>
      </c>
      <c r="T9" s="187">
        <v>0</v>
      </c>
      <c r="U9" s="187">
        <v>101200</v>
      </c>
      <c r="V9" s="187">
        <v>0</v>
      </c>
      <c r="W9" s="188">
        <f t="shared" si="3"/>
        <v>101200</v>
      </c>
      <c r="X9" s="189">
        <v>17800</v>
      </c>
      <c r="Z9" s="187">
        <v>5500</v>
      </c>
      <c r="AA9" s="187">
        <v>124700</v>
      </c>
      <c r="AB9" s="187">
        <v>0</v>
      </c>
      <c r="AC9" s="188">
        <f t="shared" si="4"/>
        <v>130200</v>
      </c>
      <c r="AD9" s="189">
        <v>18200</v>
      </c>
      <c r="AE9" s="6"/>
      <c r="AF9" s="190" t="s">
        <v>186</v>
      </c>
      <c r="AG9" s="191">
        <f>E11</f>
        <v>50000</v>
      </c>
      <c r="AH9" s="191">
        <f>AC11</f>
        <v>55200</v>
      </c>
      <c r="AI9" s="191">
        <f t="shared" si="5"/>
        <v>5200</v>
      </c>
      <c r="AJ9" s="192" t="s">
        <v>187</v>
      </c>
    </row>
    <row r="10" spans="1:36" ht="38.25" customHeight="1" x14ac:dyDescent="0.25">
      <c r="A10" s="186" t="str">
        <f>'Category (2020)'!A10</f>
        <v>Regional Coordination</v>
      </c>
      <c r="B10" s="187">
        <f>'Category (2020)'!B10</f>
        <v>0</v>
      </c>
      <c r="C10" s="187">
        <f>'Category (2020)'!C10</f>
        <v>155000</v>
      </c>
      <c r="D10" s="187">
        <f>'Category (2020)'!D10</f>
        <v>0</v>
      </c>
      <c r="E10" s="188">
        <f t="shared" si="0"/>
        <v>155000</v>
      </c>
      <c r="F10" s="189">
        <f>'Category (2020)'!F10</f>
        <v>22000</v>
      </c>
      <c r="H10" s="187">
        <v>10300</v>
      </c>
      <c r="I10" s="187">
        <v>184500</v>
      </c>
      <c r="J10" s="187">
        <v>0</v>
      </c>
      <c r="K10" s="188">
        <f t="shared" si="1"/>
        <v>194800</v>
      </c>
      <c r="L10" s="189">
        <v>22600</v>
      </c>
      <c r="N10" s="187">
        <v>15800</v>
      </c>
      <c r="O10" s="187">
        <v>283700</v>
      </c>
      <c r="P10" s="187">
        <v>0</v>
      </c>
      <c r="Q10" s="188">
        <f t="shared" si="2"/>
        <v>299500</v>
      </c>
      <c r="R10" s="189">
        <v>23100</v>
      </c>
      <c r="T10" s="187">
        <v>64600</v>
      </c>
      <c r="U10" s="187">
        <v>247700</v>
      </c>
      <c r="V10" s="187">
        <v>0</v>
      </c>
      <c r="W10" s="188">
        <f t="shared" si="3"/>
        <v>312300</v>
      </c>
      <c r="X10" s="189">
        <v>23700</v>
      </c>
      <c r="Z10" s="187">
        <v>27600</v>
      </c>
      <c r="AA10" s="187">
        <v>187600</v>
      </c>
      <c r="AB10" s="187">
        <v>0</v>
      </c>
      <c r="AC10" s="188">
        <f t="shared" si="4"/>
        <v>215200</v>
      </c>
      <c r="AD10" s="189">
        <v>24300</v>
      </c>
      <c r="AE10" s="6"/>
      <c r="AF10" s="190" t="s">
        <v>188</v>
      </c>
      <c r="AG10" s="191">
        <f>SUM(E12:E14)</f>
        <v>504000</v>
      </c>
      <c r="AH10" s="191">
        <f>SUM(AC12:AC14)</f>
        <v>556300</v>
      </c>
      <c r="AI10" s="191">
        <f t="shared" si="5"/>
        <v>52300</v>
      </c>
      <c r="AJ10" s="192" t="s">
        <v>189</v>
      </c>
    </row>
    <row r="11" spans="1:36" ht="38.25" customHeight="1" x14ac:dyDescent="0.25">
      <c r="A11" s="193" t="str">
        <f>'Category (2020)'!A11</f>
        <v>Demand Response</v>
      </c>
      <c r="B11" s="194">
        <f>'Category (2020)'!B11</f>
        <v>40000</v>
      </c>
      <c r="C11" s="194">
        <f>'Category (2020)'!C11</f>
        <v>10000</v>
      </c>
      <c r="D11" s="194">
        <f>'Category (2020)'!D11</f>
        <v>0</v>
      </c>
      <c r="E11" s="195">
        <f t="shared" si="0"/>
        <v>50000</v>
      </c>
      <c r="F11" s="196">
        <f>'Category (2020)'!F11</f>
        <v>10000</v>
      </c>
      <c r="H11" s="194">
        <v>25600</v>
      </c>
      <c r="I11" s="194">
        <v>25600</v>
      </c>
      <c r="J11" s="194">
        <v>0</v>
      </c>
      <c r="K11" s="195">
        <f t="shared" si="1"/>
        <v>51200</v>
      </c>
      <c r="L11" s="196">
        <v>10300</v>
      </c>
      <c r="N11" s="194">
        <v>0</v>
      </c>
      <c r="O11" s="194">
        <v>52500</v>
      </c>
      <c r="P11" s="194">
        <v>0</v>
      </c>
      <c r="Q11" s="195">
        <f t="shared" si="2"/>
        <v>52500</v>
      </c>
      <c r="R11" s="196">
        <v>10500</v>
      </c>
      <c r="T11" s="194">
        <v>0</v>
      </c>
      <c r="U11" s="194">
        <v>53800</v>
      </c>
      <c r="V11" s="194">
        <v>0</v>
      </c>
      <c r="W11" s="195">
        <f t="shared" si="3"/>
        <v>53800</v>
      </c>
      <c r="X11" s="196">
        <v>10800</v>
      </c>
      <c r="Z11" s="194">
        <v>0</v>
      </c>
      <c r="AA11" s="194">
        <v>55200</v>
      </c>
      <c r="AB11" s="194">
        <v>0</v>
      </c>
      <c r="AC11" s="195">
        <f t="shared" si="4"/>
        <v>55200</v>
      </c>
      <c r="AD11" s="196">
        <v>11000</v>
      </c>
      <c r="AE11" s="6"/>
      <c r="AF11" s="197" t="s">
        <v>190</v>
      </c>
      <c r="AG11" s="198">
        <f>SUM(AG6:AG10)</f>
        <v>1800000</v>
      </c>
      <c r="AH11" s="198">
        <f>SUM(AH6:AH10)</f>
        <v>1986800</v>
      </c>
      <c r="AI11" s="198">
        <f>SUM(AI6:AI10)</f>
        <v>186800</v>
      </c>
      <c r="AJ11" s="199"/>
    </row>
    <row r="12" spans="1:36" ht="38.25" customHeight="1" x14ac:dyDescent="0.25">
      <c r="A12" s="273" t="str">
        <f>'Category (2020)'!A12</f>
        <v>Website and Regional Conservation Progress</v>
      </c>
      <c r="B12" s="274">
        <f>'Category (2020)'!B12</f>
        <v>50000</v>
      </c>
      <c r="C12" s="274">
        <f>'Category (2020)'!C12</f>
        <v>0</v>
      </c>
      <c r="D12" s="274">
        <f>'Category (2020)'!D12</f>
        <v>0</v>
      </c>
      <c r="E12" s="275">
        <f t="shared" si="0"/>
        <v>50000</v>
      </c>
      <c r="F12" s="276">
        <f>'Category (2020)'!F12</f>
        <v>45000</v>
      </c>
      <c r="H12" s="274">
        <v>51300</v>
      </c>
      <c r="I12" s="274">
        <v>0</v>
      </c>
      <c r="J12" s="274">
        <v>0</v>
      </c>
      <c r="K12" s="275">
        <f t="shared" si="1"/>
        <v>51300</v>
      </c>
      <c r="L12" s="276">
        <v>46100</v>
      </c>
      <c r="N12" s="274">
        <v>52500</v>
      </c>
      <c r="O12" s="274">
        <v>0</v>
      </c>
      <c r="P12" s="274">
        <v>0</v>
      </c>
      <c r="Q12" s="275">
        <f t="shared" si="2"/>
        <v>52500</v>
      </c>
      <c r="R12" s="276">
        <v>47300</v>
      </c>
      <c r="T12" s="274">
        <v>53800</v>
      </c>
      <c r="U12" s="274">
        <v>0</v>
      </c>
      <c r="V12" s="274">
        <v>0</v>
      </c>
      <c r="W12" s="275">
        <f t="shared" si="3"/>
        <v>53800</v>
      </c>
      <c r="X12" s="276">
        <v>48500</v>
      </c>
      <c r="Z12" s="274">
        <v>55200</v>
      </c>
      <c r="AA12" s="274">
        <v>0</v>
      </c>
      <c r="AB12" s="274">
        <v>0</v>
      </c>
      <c r="AC12" s="275">
        <f t="shared" si="4"/>
        <v>55200</v>
      </c>
      <c r="AD12" s="276">
        <v>49700</v>
      </c>
      <c r="AF12"/>
      <c r="AG12" s="6"/>
    </row>
    <row r="13" spans="1:36" ht="38.25" customHeight="1" x14ac:dyDescent="0.25">
      <c r="A13" s="273" t="str">
        <f>'Category (2020)'!A13</f>
        <v>RTF Meeting Support</v>
      </c>
      <c r="B13" s="274">
        <f>'Category (2020)'!B13</f>
        <v>163000</v>
      </c>
      <c r="C13" s="274">
        <f>'Category (2020)'!C13</f>
        <v>113000</v>
      </c>
      <c r="D13" s="274">
        <f>'Category (2020)'!D13</f>
        <v>0</v>
      </c>
      <c r="E13" s="275">
        <f t="shared" si="0"/>
        <v>276000</v>
      </c>
      <c r="F13" s="276">
        <f>'Category (2020)'!F13</f>
        <v>10000</v>
      </c>
      <c r="H13" s="274">
        <v>167100</v>
      </c>
      <c r="I13" s="274">
        <v>115800</v>
      </c>
      <c r="J13" s="274">
        <v>0</v>
      </c>
      <c r="K13" s="275">
        <f t="shared" si="1"/>
        <v>282900</v>
      </c>
      <c r="L13" s="276">
        <v>10300</v>
      </c>
      <c r="N13" s="274">
        <v>171300</v>
      </c>
      <c r="O13" s="274">
        <v>118700</v>
      </c>
      <c r="P13" s="274">
        <v>0</v>
      </c>
      <c r="Q13" s="275">
        <f t="shared" si="2"/>
        <v>290000</v>
      </c>
      <c r="R13" s="276">
        <v>10500</v>
      </c>
      <c r="T13" s="274">
        <v>175500</v>
      </c>
      <c r="U13" s="274">
        <v>121700</v>
      </c>
      <c r="V13" s="274">
        <v>0</v>
      </c>
      <c r="W13" s="275">
        <f t="shared" si="3"/>
        <v>297200</v>
      </c>
      <c r="X13" s="276">
        <v>10800</v>
      </c>
      <c r="Z13" s="274">
        <v>179900</v>
      </c>
      <c r="AA13" s="274">
        <v>124700</v>
      </c>
      <c r="AB13" s="274">
        <v>0</v>
      </c>
      <c r="AC13" s="275">
        <f t="shared" si="4"/>
        <v>304600</v>
      </c>
      <c r="AD13" s="276">
        <v>11000</v>
      </c>
      <c r="AF13"/>
    </row>
    <row r="14" spans="1:36" ht="38.25" customHeight="1" x14ac:dyDescent="0.25">
      <c r="A14" s="273" t="str">
        <f>'Category (2020)'!A14</f>
        <v>RTF Management</v>
      </c>
      <c r="B14" s="274">
        <f>'Category (2020)'!B14</f>
        <v>4000</v>
      </c>
      <c r="C14" s="274">
        <f>'Category (2020)'!C14</f>
        <v>0</v>
      </c>
      <c r="D14" s="274">
        <f>'Category (2020)'!D14</f>
        <v>174000</v>
      </c>
      <c r="E14" s="275">
        <f t="shared" si="0"/>
        <v>178000</v>
      </c>
      <c r="F14" s="276">
        <f>'Category (2020)'!F14</f>
        <v>66500</v>
      </c>
      <c r="H14" s="274">
        <v>4100</v>
      </c>
      <c r="I14" s="274">
        <v>0</v>
      </c>
      <c r="J14" s="274">
        <v>178400</v>
      </c>
      <c r="K14" s="275">
        <f t="shared" si="1"/>
        <v>182500</v>
      </c>
      <c r="L14" s="276">
        <v>68200</v>
      </c>
      <c r="N14" s="274">
        <v>4200</v>
      </c>
      <c r="O14" s="274">
        <v>0</v>
      </c>
      <c r="P14" s="274">
        <v>182800</v>
      </c>
      <c r="Q14" s="275">
        <f t="shared" si="2"/>
        <v>187000</v>
      </c>
      <c r="R14" s="276">
        <v>69900</v>
      </c>
      <c r="T14" s="274">
        <v>4300</v>
      </c>
      <c r="U14" s="274">
        <v>0</v>
      </c>
      <c r="V14" s="274">
        <v>187400</v>
      </c>
      <c r="W14" s="275">
        <f t="shared" si="3"/>
        <v>191700</v>
      </c>
      <c r="X14" s="276">
        <v>71600</v>
      </c>
      <c r="Z14" s="274">
        <v>4400</v>
      </c>
      <c r="AA14" s="274">
        <v>0</v>
      </c>
      <c r="AB14" s="274">
        <v>192100</v>
      </c>
      <c r="AC14" s="275">
        <f t="shared" si="4"/>
        <v>196500</v>
      </c>
      <c r="AD14" s="276">
        <v>73400</v>
      </c>
      <c r="AF14"/>
    </row>
    <row r="15" spans="1:36" ht="38.25" customHeight="1" x14ac:dyDescent="0.25">
      <c r="A15" s="200" t="s">
        <v>191</v>
      </c>
      <c r="B15" s="201">
        <f>SUM(B6:B14)</f>
        <v>433000</v>
      </c>
      <c r="C15" s="201">
        <f t="shared" ref="C15:D15" si="6">SUM(C6:C14)</f>
        <v>1193000</v>
      </c>
      <c r="D15" s="201">
        <f t="shared" si="6"/>
        <v>174000</v>
      </c>
      <c r="E15" s="202">
        <f>SUM(E6:E14)</f>
        <v>1800000</v>
      </c>
      <c r="F15" s="203">
        <f>SUM(F6:F14)</f>
        <v>185600</v>
      </c>
      <c r="H15" s="204">
        <f>SUM(H6:H14)</f>
        <v>431400</v>
      </c>
      <c r="I15" s="204">
        <f t="shared" ref="I15:L15" si="7">SUM(I6:I14)</f>
        <v>1235200</v>
      </c>
      <c r="J15" s="204">
        <f t="shared" si="7"/>
        <v>178400</v>
      </c>
      <c r="K15" s="205">
        <f>SUM(K6:K14)</f>
        <v>1845000</v>
      </c>
      <c r="L15" s="206">
        <f t="shared" si="7"/>
        <v>190300</v>
      </c>
      <c r="N15" s="207">
        <f>SUM(N6:N14)</f>
        <v>412900</v>
      </c>
      <c r="O15" s="207">
        <f t="shared" ref="O15:R15" si="8">SUM(O6:O14)</f>
        <v>1295400</v>
      </c>
      <c r="P15" s="207">
        <f t="shared" si="8"/>
        <v>182800</v>
      </c>
      <c r="Q15" s="208">
        <f>SUM(Q6:Q14)</f>
        <v>1891100</v>
      </c>
      <c r="R15" s="209">
        <f t="shared" si="8"/>
        <v>195000</v>
      </c>
      <c r="T15" s="207">
        <f>SUM(T6:T14)</f>
        <v>440400</v>
      </c>
      <c r="U15" s="207">
        <f t="shared" ref="U15:X15" si="9">SUM(U6:U14)</f>
        <v>1310600</v>
      </c>
      <c r="V15" s="207">
        <f t="shared" si="9"/>
        <v>187400</v>
      </c>
      <c r="W15" s="208">
        <f>SUM(W6:W14)</f>
        <v>1938400</v>
      </c>
      <c r="X15" s="209">
        <f t="shared" si="9"/>
        <v>199900</v>
      </c>
      <c r="Z15" s="207">
        <f>SUM(Z6:Z14)</f>
        <v>436000</v>
      </c>
      <c r="AA15" s="207">
        <f t="shared" ref="AA15:AD15" si="10">SUM(AA6:AA14)</f>
        <v>1358700</v>
      </c>
      <c r="AB15" s="207">
        <f t="shared" si="10"/>
        <v>192100</v>
      </c>
      <c r="AC15" s="208">
        <f>SUM(AC6:AC14)</f>
        <v>1986800</v>
      </c>
      <c r="AD15" s="209">
        <f t="shared" si="10"/>
        <v>204900</v>
      </c>
      <c r="AF15"/>
    </row>
    <row r="16" spans="1:36" x14ac:dyDescent="0.25">
      <c r="A16" s="210" t="s">
        <v>34</v>
      </c>
      <c r="B16" s="211"/>
      <c r="C16" s="212">
        <f>C15/200000</f>
        <v>5.9649999999999999</v>
      </c>
      <c r="D16" s="213">
        <v>1</v>
      </c>
      <c r="E16" s="214"/>
      <c r="F16" s="215">
        <f>'NPCC Contribution'!E25</f>
        <v>1.6500000000000004</v>
      </c>
      <c r="G16" s="6"/>
      <c r="H16" s="210"/>
      <c r="I16" s="216">
        <f>I15/200000</f>
        <v>6.1760000000000002</v>
      </c>
      <c r="J16" s="217">
        <v>1</v>
      </c>
      <c r="K16" s="218"/>
      <c r="L16" s="216">
        <f>F16</f>
        <v>1.6500000000000004</v>
      </c>
      <c r="N16" s="210"/>
      <c r="O16" s="212">
        <f>O15/200000</f>
        <v>6.4770000000000003</v>
      </c>
      <c r="P16" s="212">
        <f>J16</f>
        <v>1</v>
      </c>
      <c r="Q16" s="212"/>
      <c r="R16" s="212">
        <f>L16</f>
        <v>1.6500000000000004</v>
      </c>
      <c r="T16" s="210"/>
      <c r="U16" s="212">
        <f>U15/200000</f>
        <v>6.5529999999999999</v>
      </c>
      <c r="V16" s="212">
        <f>P16</f>
        <v>1</v>
      </c>
      <c r="W16" s="219"/>
      <c r="X16" s="212">
        <f>R16</f>
        <v>1.6500000000000004</v>
      </c>
      <c r="Z16" s="210"/>
      <c r="AA16" s="212">
        <f>AA15/200000</f>
        <v>6.7934999999999999</v>
      </c>
      <c r="AB16" s="212">
        <f>V16</f>
        <v>1</v>
      </c>
      <c r="AC16" s="212"/>
      <c r="AD16" s="212">
        <f>X16</f>
        <v>1.6500000000000004</v>
      </c>
      <c r="AF16"/>
    </row>
    <row r="17" spans="1:32" x14ac:dyDescent="0.25">
      <c r="I17" s="220"/>
      <c r="L17" s="6"/>
      <c r="N17" s="220"/>
      <c r="P17" s="58"/>
      <c r="Q17" s="221"/>
      <c r="R17" s="6"/>
      <c r="S17" s="57"/>
      <c r="V17" s="58"/>
      <c r="W17" s="222"/>
      <c r="X17" s="57"/>
      <c r="Y17" s="220"/>
      <c r="AB17" s="58"/>
      <c r="AC17" s="223"/>
      <c r="AD17" s="6"/>
      <c r="AF17"/>
    </row>
    <row r="18" spans="1:32" ht="47.25" x14ac:dyDescent="0.25">
      <c r="A18" s="316"/>
      <c r="B18" s="315" t="s">
        <v>74</v>
      </c>
      <c r="C18" s="315" t="s">
        <v>75</v>
      </c>
      <c r="D18" s="315" t="s">
        <v>76</v>
      </c>
      <c r="E18" s="315" t="s">
        <v>178</v>
      </c>
      <c r="F18" s="315" t="s">
        <v>207</v>
      </c>
      <c r="I18" s="55"/>
      <c r="K18" s="224"/>
      <c r="L18" s="224"/>
      <c r="M18" s="224"/>
      <c r="N18" s="224"/>
      <c r="O18" s="224"/>
      <c r="P18" s="221"/>
      <c r="Q18" s="221"/>
      <c r="R18" s="224"/>
      <c r="S18" s="224"/>
      <c r="T18" s="224"/>
      <c r="U18" s="224"/>
      <c r="V18" s="221"/>
      <c r="W18" s="225"/>
      <c r="X18" s="224"/>
      <c r="Y18" s="224"/>
      <c r="Z18" s="224"/>
      <c r="AA18" s="224"/>
      <c r="AB18" s="221"/>
      <c r="AC18" s="225"/>
      <c r="AF18"/>
    </row>
    <row r="19" spans="1:32" x14ac:dyDescent="0.25">
      <c r="A19" s="226">
        <v>2020</v>
      </c>
      <c r="B19" s="227">
        <f>B15</f>
        <v>433000</v>
      </c>
      <c r="C19" s="227">
        <f t="shared" ref="C19:F19" si="11">C15</f>
        <v>1193000</v>
      </c>
      <c r="D19" s="227">
        <f t="shared" si="11"/>
        <v>174000</v>
      </c>
      <c r="E19" s="227">
        <f t="shared" si="11"/>
        <v>1800000</v>
      </c>
      <c r="F19" s="227">
        <f t="shared" si="11"/>
        <v>185600</v>
      </c>
      <c r="AF19"/>
    </row>
    <row r="20" spans="1:32" x14ac:dyDescent="0.25">
      <c r="A20" s="228">
        <v>2021</v>
      </c>
      <c r="B20" s="227">
        <f>H15</f>
        <v>431400</v>
      </c>
      <c r="C20" s="227">
        <f t="shared" ref="C20:F20" si="12">I15</f>
        <v>1235200</v>
      </c>
      <c r="D20" s="227">
        <f t="shared" si="12"/>
        <v>178400</v>
      </c>
      <c r="E20" s="227">
        <f t="shared" si="12"/>
        <v>1845000</v>
      </c>
      <c r="F20" s="227">
        <f t="shared" si="12"/>
        <v>190300</v>
      </c>
      <c r="W20" s="6"/>
      <c r="AF20"/>
    </row>
    <row r="21" spans="1:32" x14ac:dyDescent="0.25">
      <c r="A21" s="228">
        <v>2022</v>
      </c>
      <c r="B21" s="227">
        <f>N15</f>
        <v>412900</v>
      </c>
      <c r="C21" s="227">
        <f>O15</f>
        <v>1295400</v>
      </c>
      <c r="D21" s="227">
        <f t="shared" ref="D21:F21" si="13">P15</f>
        <v>182800</v>
      </c>
      <c r="E21" s="227">
        <f t="shared" si="13"/>
        <v>1891100</v>
      </c>
      <c r="F21" s="227">
        <f t="shared" si="13"/>
        <v>195000</v>
      </c>
      <c r="AF21"/>
    </row>
    <row r="22" spans="1:32" x14ac:dyDescent="0.25">
      <c r="A22" s="228">
        <v>2023</v>
      </c>
      <c r="B22" s="227">
        <f>T15</f>
        <v>440400</v>
      </c>
      <c r="C22" s="227">
        <f>U15</f>
        <v>1310600</v>
      </c>
      <c r="D22" s="227">
        <f t="shared" ref="D22:F22" si="14">V15</f>
        <v>187400</v>
      </c>
      <c r="E22" s="227">
        <f t="shared" si="14"/>
        <v>1938400</v>
      </c>
      <c r="F22" s="227">
        <f t="shared" si="14"/>
        <v>199900</v>
      </c>
    </row>
    <row r="23" spans="1:32" x14ac:dyDescent="0.25">
      <c r="A23" s="228">
        <v>2024</v>
      </c>
      <c r="B23" s="227">
        <f>Z15</f>
        <v>436000</v>
      </c>
      <c r="C23" s="227">
        <f>AA15</f>
        <v>1358700</v>
      </c>
      <c r="D23" s="227">
        <f t="shared" ref="D23:F23" si="15">AB15</f>
        <v>192100</v>
      </c>
      <c r="E23" s="227">
        <f t="shared" si="15"/>
        <v>1986800</v>
      </c>
      <c r="F23" s="227">
        <f t="shared" si="15"/>
        <v>204900</v>
      </c>
    </row>
    <row r="25" spans="1:32" x14ac:dyDescent="0.25">
      <c r="B25" s="229"/>
      <c r="C25" s="229"/>
      <c r="D25" s="229"/>
      <c r="E25" s="229"/>
      <c r="F25" s="229"/>
    </row>
    <row r="26" spans="1:32" x14ac:dyDescent="0.25">
      <c r="A26" s="134"/>
      <c r="B26" s="315">
        <v>2020</v>
      </c>
      <c r="C26" s="315">
        <v>2021</v>
      </c>
      <c r="D26" s="315">
        <v>2022</v>
      </c>
      <c r="E26" s="315">
        <v>2023</v>
      </c>
      <c r="F26" s="315">
        <v>2024</v>
      </c>
      <c r="G26" s="315" t="s">
        <v>236</v>
      </c>
    </row>
    <row r="27" spans="1:32" x14ac:dyDescent="0.25">
      <c r="A27" s="226" t="s">
        <v>74</v>
      </c>
      <c r="B27" s="227">
        <f>B19</f>
        <v>433000</v>
      </c>
      <c r="C27" s="227">
        <f>B20</f>
        <v>431400</v>
      </c>
      <c r="D27" s="227">
        <f>B21</f>
        <v>412900</v>
      </c>
      <c r="E27" s="227">
        <f>B22</f>
        <v>440400</v>
      </c>
      <c r="F27" s="227">
        <f>B23</f>
        <v>436000</v>
      </c>
      <c r="G27" s="339">
        <f>SUM(B27:F27)/SUM($B$30:$F$30)</f>
        <v>0.22763256634923318</v>
      </c>
    </row>
    <row r="28" spans="1:32" x14ac:dyDescent="0.25">
      <c r="A28" s="226" t="s">
        <v>75</v>
      </c>
      <c r="B28" s="227">
        <f>C19</f>
        <v>1193000</v>
      </c>
      <c r="C28" s="227">
        <f>C20</f>
        <v>1235200</v>
      </c>
      <c r="D28" s="227">
        <f>C21</f>
        <v>1295400</v>
      </c>
      <c r="E28" s="227">
        <f>C22</f>
        <v>1310600</v>
      </c>
      <c r="F28" s="227">
        <f>C23</f>
        <v>1358700</v>
      </c>
      <c r="G28" s="340">
        <f t="shared" ref="G28:G31" si="16">SUM(B28:F28)/SUM($B$30:$F$30)</f>
        <v>0.67568938729350092</v>
      </c>
    </row>
    <row r="29" spans="1:32" x14ac:dyDescent="0.25">
      <c r="A29" s="226" t="s">
        <v>76</v>
      </c>
      <c r="B29" s="227">
        <f>D19</f>
        <v>174000</v>
      </c>
      <c r="C29" s="227">
        <f>D20</f>
        <v>178400</v>
      </c>
      <c r="D29" s="227">
        <f>D21</f>
        <v>182800</v>
      </c>
      <c r="E29" s="227">
        <f>D22</f>
        <v>187400</v>
      </c>
      <c r="F29" s="227">
        <f>D23</f>
        <v>192100</v>
      </c>
      <c r="G29" s="341">
        <f t="shared" si="16"/>
        <v>9.6678046357265915E-2</v>
      </c>
    </row>
    <row r="30" spans="1:32" x14ac:dyDescent="0.25">
      <c r="A30" s="226" t="s">
        <v>178</v>
      </c>
      <c r="B30" s="227">
        <f>E19</f>
        <v>1800000</v>
      </c>
      <c r="C30" s="227">
        <f>E20</f>
        <v>1845000</v>
      </c>
      <c r="D30" s="227">
        <f>E21</f>
        <v>1891100</v>
      </c>
      <c r="E30" s="227">
        <f>E22</f>
        <v>1938400</v>
      </c>
      <c r="F30" s="227">
        <f>E23</f>
        <v>1986800</v>
      </c>
      <c r="G30" s="342">
        <f t="shared" si="16"/>
        <v>1</v>
      </c>
    </row>
    <row r="31" spans="1:32" x14ac:dyDescent="0.25">
      <c r="A31" s="226" t="s">
        <v>192</v>
      </c>
      <c r="B31" s="227">
        <f>F19</f>
        <v>185600</v>
      </c>
      <c r="C31" s="227">
        <f>F20</f>
        <v>190300</v>
      </c>
      <c r="D31" s="227">
        <f>F21</f>
        <v>195000</v>
      </c>
      <c r="E31" s="227">
        <f>F22</f>
        <v>199900</v>
      </c>
      <c r="F31" s="227">
        <f>F23</f>
        <v>204900</v>
      </c>
      <c r="G31" s="338">
        <f t="shared" si="16"/>
        <v>0.10312536332216503</v>
      </c>
    </row>
    <row r="32" spans="1:32" x14ac:dyDescent="0.25">
      <c r="A32" s="313" t="s">
        <v>193</v>
      </c>
      <c r="B32" s="314">
        <f>F16</f>
        <v>1.6500000000000004</v>
      </c>
      <c r="C32" s="314">
        <f>L16</f>
        <v>1.6500000000000004</v>
      </c>
      <c r="D32" s="314">
        <f>R16</f>
        <v>1.6500000000000004</v>
      </c>
      <c r="E32" s="314">
        <f>X16</f>
        <v>1.6500000000000004</v>
      </c>
      <c r="F32" s="314">
        <f>AD16</f>
        <v>1.6500000000000004</v>
      </c>
    </row>
    <row r="35" spans="1:14" x14ac:dyDescent="0.25">
      <c r="A35" s="230" t="s">
        <v>178</v>
      </c>
      <c r="B35" s="180">
        <v>2020</v>
      </c>
      <c r="C35" s="180">
        <v>2021</v>
      </c>
      <c r="D35" s="180">
        <v>2022</v>
      </c>
      <c r="E35" s="180">
        <v>2023</v>
      </c>
      <c r="F35" s="180">
        <v>2024</v>
      </c>
      <c r="G35" s="315" t="s">
        <v>236</v>
      </c>
    </row>
    <row r="36" spans="1:14" x14ac:dyDescent="0.25">
      <c r="A36" s="307" t="s">
        <v>235</v>
      </c>
      <c r="B36" s="308">
        <f>SUM(E6:E8)</f>
        <v>971000</v>
      </c>
      <c r="C36" s="308">
        <f>SUM(K6:K8)</f>
        <v>916300</v>
      </c>
      <c r="D36" s="308">
        <f>SUM(Q6:Q8)</f>
        <v>883500</v>
      </c>
      <c r="E36" s="308">
        <f>SUM(W6:W8)</f>
        <v>928400</v>
      </c>
      <c r="F36" s="308">
        <f>SUM(AC6:AC8)</f>
        <v>1029900</v>
      </c>
      <c r="G36" s="339">
        <f>SUM(B36:F36)/SUM($B$40:$F$40)</f>
        <v>0.49983617473285913</v>
      </c>
    </row>
    <row r="37" spans="1:14" x14ac:dyDescent="0.25">
      <c r="A37" s="231" t="s">
        <v>234</v>
      </c>
      <c r="B37" s="305">
        <f>SUM(E9:E10)</f>
        <v>275000</v>
      </c>
      <c r="C37" s="305">
        <f>SUM(K9:K10)</f>
        <v>360800</v>
      </c>
      <c r="D37" s="305">
        <f>SUM(Q9:Q10)</f>
        <v>425600</v>
      </c>
      <c r="E37" s="305">
        <f>SUM(W9:W10)</f>
        <v>413500</v>
      </c>
      <c r="F37" s="305">
        <f>SUM(AC9:AC10)</f>
        <v>345400</v>
      </c>
      <c r="G37" s="340">
        <f t="shared" ref="G37:G39" si="17">SUM(B37:F37)/SUM($B$40:$F$40)</f>
        <v>0.19239427985583377</v>
      </c>
    </row>
    <row r="38" spans="1:14" x14ac:dyDescent="0.25">
      <c r="A38" s="233" t="s">
        <v>186</v>
      </c>
      <c r="B38" s="306">
        <f>E11</f>
        <v>50000</v>
      </c>
      <c r="C38" s="306">
        <f>K11</f>
        <v>51200</v>
      </c>
      <c r="D38" s="306">
        <f>Q11</f>
        <v>52500</v>
      </c>
      <c r="E38" s="306">
        <f>W11</f>
        <v>53800</v>
      </c>
      <c r="F38" s="306">
        <f>AC11</f>
        <v>55200</v>
      </c>
      <c r="G38" s="341">
        <f t="shared" si="17"/>
        <v>2.7765740437360617E-2</v>
      </c>
    </row>
    <row r="39" spans="1:14" x14ac:dyDescent="0.25">
      <c r="A39" s="310" t="s">
        <v>148</v>
      </c>
      <c r="B39" s="311">
        <f>SUM(E12:E14)</f>
        <v>504000</v>
      </c>
      <c r="C39" s="311">
        <f>SUM(K12:K14)</f>
        <v>516700</v>
      </c>
      <c r="D39" s="311">
        <f>SUM(Q12:Q14)</f>
        <v>529500</v>
      </c>
      <c r="E39" s="311">
        <f>SUM(W12:W14)</f>
        <v>542700</v>
      </c>
      <c r="F39" s="311">
        <f>SUM(AC12:AC14)</f>
        <v>556300</v>
      </c>
      <c r="G39" s="342">
        <f t="shared" si="17"/>
        <v>0.2800038049739465</v>
      </c>
    </row>
    <row r="40" spans="1:14" x14ac:dyDescent="0.25">
      <c r="A40" s="235" t="s">
        <v>190</v>
      </c>
      <c r="B40" s="236">
        <f>SUM(B36:B39)</f>
        <v>1800000</v>
      </c>
      <c r="C40" s="236">
        <f t="shared" ref="C40:F40" si="18">SUM(C36:C39)</f>
        <v>1845000</v>
      </c>
      <c r="D40" s="236">
        <f t="shared" si="18"/>
        <v>1891100</v>
      </c>
      <c r="E40" s="236">
        <f t="shared" si="18"/>
        <v>1938400</v>
      </c>
      <c r="F40" s="236">
        <f t="shared" si="18"/>
        <v>1986800</v>
      </c>
      <c r="G40" s="338">
        <f>SUM(B40:F40)/SUM($B$40:$F$40)</f>
        <v>1</v>
      </c>
    </row>
    <row r="43" spans="1:14" x14ac:dyDescent="0.25">
      <c r="A43" s="317" t="s">
        <v>206</v>
      </c>
      <c r="B43" s="315">
        <v>2020</v>
      </c>
      <c r="C43" s="315">
        <v>2021</v>
      </c>
      <c r="D43" s="315">
        <v>2022</v>
      </c>
      <c r="E43" s="315">
        <v>2023</v>
      </c>
      <c r="F43" s="315">
        <v>2024</v>
      </c>
      <c r="G43"/>
    </row>
    <row r="44" spans="1:14" x14ac:dyDescent="0.25">
      <c r="A44" s="307" t="s">
        <v>235</v>
      </c>
      <c r="B44" s="309">
        <f>SUM(E6:F8)</f>
        <v>986600</v>
      </c>
      <c r="C44" s="309">
        <f>SUM(K6:L8)</f>
        <v>932200</v>
      </c>
      <c r="D44" s="309">
        <f>SUM(Q6:R8)</f>
        <v>899900</v>
      </c>
      <c r="E44" s="309">
        <f>SUM(W6:X8)</f>
        <v>945100</v>
      </c>
      <c r="F44" s="309">
        <f>SUM(AC6:AD8)</f>
        <v>1047200</v>
      </c>
      <c r="G44"/>
      <c r="H44"/>
      <c r="I44"/>
      <c r="J44"/>
      <c r="K44"/>
      <c r="L44"/>
      <c r="M44"/>
      <c r="N44"/>
    </row>
    <row r="45" spans="1:14" x14ac:dyDescent="0.25">
      <c r="A45" s="231" t="s">
        <v>234</v>
      </c>
      <c r="B45" s="232">
        <f>SUM(E9:F10)</f>
        <v>313500</v>
      </c>
      <c r="C45" s="232">
        <f>SUM(K9:L10)</f>
        <v>400300</v>
      </c>
      <c r="D45" s="232">
        <f>SUM(Q9:R10)</f>
        <v>466000</v>
      </c>
      <c r="E45" s="232">
        <f>SUM(W9:X10)</f>
        <v>455000</v>
      </c>
      <c r="F45" s="232">
        <f>SUM(AC9:AD10)</f>
        <v>387900</v>
      </c>
      <c r="G45"/>
      <c r="H45"/>
      <c r="I45"/>
      <c r="J45"/>
      <c r="K45"/>
      <c r="L45"/>
      <c r="M45"/>
      <c r="N45"/>
    </row>
    <row r="46" spans="1:14" x14ac:dyDescent="0.25">
      <c r="A46" s="233" t="s">
        <v>186</v>
      </c>
      <c r="B46" s="234">
        <f>SUM(E11:F11)</f>
        <v>60000</v>
      </c>
      <c r="C46" s="234">
        <f>SUM(K11:L11)</f>
        <v>61500</v>
      </c>
      <c r="D46" s="234">
        <f>SUM(Q11:R11)</f>
        <v>63000</v>
      </c>
      <c r="E46" s="234">
        <f>SUM(W11:X11)</f>
        <v>64600</v>
      </c>
      <c r="F46" s="234">
        <f>SUM(AC11:AD11)</f>
        <v>66200</v>
      </c>
      <c r="G46"/>
      <c r="H46"/>
      <c r="I46"/>
      <c r="J46"/>
      <c r="K46"/>
      <c r="L46"/>
      <c r="M46"/>
      <c r="N46"/>
    </row>
    <row r="47" spans="1:14" x14ac:dyDescent="0.25">
      <c r="A47" s="310" t="s">
        <v>148</v>
      </c>
      <c r="B47" s="312">
        <f>SUM(E12:F14)</f>
        <v>625500</v>
      </c>
      <c r="C47" s="312">
        <f>SUM(K12:L14)</f>
        <v>641300</v>
      </c>
      <c r="D47" s="312">
        <f>SUM(Q12:R14)</f>
        <v>657200</v>
      </c>
      <c r="E47" s="312">
        <f>SUM(W12:X14)</f>
        <v>673600</v>
      </c>
      <c r="F47" s="312">
        <f>SUM(AC12:AD14)</f>
        <v>690400</v>
      </c>
      <c r="G47"/>
      <c r="H47"/>
      <c r="I47"/>
      <c r="J47"/>
      <c r="K47"/>
      <c r="L47"/>
      <c r="M47"/>
      <c r="N47"/>
    </row>
    <row r="48" spans="1:14" x14ac:dyDescent="0.25">
      <c r="A48" s="235" t="s">
        <v>190</v>
      </c>
      <c r="B48" s="236">
        <f>SUM(B44:B47)</f>
        <v>1985600</v>
      </c>
      <c r="C48" s="236">
        <f t="shared" ref="C48:F48" si="19">SUM(C44:C47)</f>
        <v>2035300</v>
      </c>
      <c r="D48" s="236">
        <f t="shared" si="19"/>
        <v>2086100</v>
      </c>
      <c r="E48" s="236">
        <f t="shared" si="19"/>
        <v>2138300</v>
      </c>
      <c r="F48" s="236">
        <f t="shared" si="19"/>
        <v>2191700</v>
      </c>
      <c r="G48"/>
      <c r="H48"/>
      <c r="I48"/>
      <c r="J48"/>
      <c r="K48"/>
      <c r="L48"/>
      <c r="M48"/>
      <c r="N48"/>
    </row>
    <row r="49" spans="1:14" x14ac:dyDescent="0.25">
      <c r="B49" s="6"/>
      <c r="G49"/>
      <c r="H49"/>
      <c r="I49"/>
      <c r="J49"/>
      <c r="K49"/>
      <c r="L49"/>
      <c r="M49"/>
      <c r="N49"/>
    </row>
    <row r="50" spans="1:14" x14ac:dyDescent="0.25">
      <c r="A50" s="317" t="s">
        <v>194</v>
      </c>
      <c r="B50" s="315">
        <v>2020</v>
      </c>
      <c r="C50" s="315">
        <v>2021</v>
      </c>
      <c r="D50" s="315">
        <v>2022</v>
      </c>
      <c r="E50" s="315">
        <v>2023</v>
      </c>
      <c r="F50" s="315">
        <v>2024</v>
      </c>
      <c r="H50"/>
      <c r="I50"/>
      <c r="J50"/>
      <c r="K50"/>
      <c r="L50"/>
      <c r="M50"/>
      <c r="N50"/>
    </row>
    <row r="51" spans="1:14" x14ac:dyDescent="0.25">
      <c r="A51" s="237" t="s">
        <v>195</v>
      </c>
      <c r="B51" s="238"/>
      <c r="C51" s="239">
        <f>K15-E$15</f>
        <v>45000</v>
      </c>
      <c r="D51" s="239">
        <f>Q15-K$15</f>
        <v>46100</v>
      </c>
      <c r="E51" s="239">
        <f>W15-Q$15</f>
        <v>47300</v>
      </c>
      <c r="F51" s="239">
        <f>AC15-W$15</f>
        <v>48400</v>
      </c>
      <c r="H51"/>
      <c r="I51"/>
      <c r="J51"/>
      <c r="K51"/>
      <c r="L51"/>
      <c r="M51"/>
      <c r="N51"/>
    </row>
    <row r="52" spans="1:14" x14ac:dyDescent="0.25">
      <c r="A52" s="237" t="s">
        <v>196</v>
      </c>
      <c r="B52" s="238"/>
      <c r="C52" s="239">
        <f>K15-$E$15</f>
        <v>45000</v>
      </c>
      <c r="D52" s="239">
        <f>Q15-$E$15</f>
        <v>91100</v>
      </c>
      <c r="E52" s="239">
        <f>W15-$E$15</f>
        <v>138400</v>
      </c>
      <c r="F52" s="239">
        <f>AC15-$E$15</f>
        <v>186800</v>
      </c>
      <c r="H52"/>
      <c r="I52"/>
      <c r="J52"/>
      <c r="K52"/>
      <c r="L52"/>
      <c r="M52"/>
      <c r="N52"/>
    </row>
    <row r="53" spans="1:14" customFormat="1" ht="12.75" x14ac:dyDescent="0.2"/>
    <row r="54" spans="1:14" x14ac:dyDescent="0.25">
      <c r="A54" s="317"/>
      <c r="B54" s="315">
        <v>2020</v>
      </c>
      <c r="C54" s="315">
        <v>2021</v>
      </c>
      <c r="D54" s="315">
        <v>2022</v>
      </c>
      <c r="E54" s="315">
        <v>2023</v>
      </c>
      <c r="F54" s="315">
        <v>2024</v>
      </c>
      <c r="H54"/>
      <c r="I54"/>
      <c r="J54"/>
      <c r="K54"/>
      <c r="L54"/>
      <c r="M54"/>
      <c r="N54"/>
    </row>
    <row r="55" spans="1:14" x14ac:dyDescent="0.25">
      <c r="A55" s="237" t="s">
        <v>197</v>
      </c>
      <c r="B55" s="239">
        <v>1476000</v>
      </c>
      <c r="C55" s="239">
        <v>1512900</v>
      </c>
      <c r="D55" s="239">
        <v>1550700</v>
      </c>
      <c r="E55" s="239">
        <v>1589500</v>
      </c>
      <c r="F55" s="239">
        <v>1629200</v>
      </c>
      <c r="H55"/>
      <c r="I55"/>
      <c r="J55"/>
      <c r="K55"/>
      <c r="L55"/>
      <c r="M55"/>
      <c r="N55"/>
    </row>
    <row r="56" spans="1:14" x14ac:dyDescent="0.25">
      <c r="A56" s="237" t="s">
        <v>198</v>
      </c>
      <c r="B56" s="239">
        <v>324000</v>
      </c>
      <c r="C56" s="239">
        <v>332100</v>
      </c>
      <c r="D56" s="239">
        <v>340400</v>
      </c>
      <c r="E56" s="239">
        <v>348900</v>
      </c>
      <c r="F56" s="239">
        <v>357600</v>
      </c>
      <c r="L56"/>
      <c r="M56"/>
      <c r="N56"/>
    </row>
    <row r="57" spans="1:14" x14ac:dyDescent="0.25">
      <c r="A57" s="240" t="s">
        <v>190</v>
      </c>
      <c r="B57" s="241">
        <f>SUM(B55:B56)</f>
        <v>1800000</v>
      </c>
      <c r="C57" s="241">
        <f>SUM(C55:C56)</f>
        <v>1845000</v>
      </c>
      <c r="D57" s="241">
        <f>SUM(D55:D56)</f>
        <v>1891100</v>
      </c>
      <c r="E57" s="241">
        <f>SUM(E55:E56)</f>
        <v>1938400</v>
      </c>
      <c r="F57" s="241">
        <f>SUM(F55:F56)</f>
        <v>1986800</v>
      </c>
      <c r="L57"/>
      <c r="M57"/>
      <c r="N57"/>
    </row>
    <row r="58" spans="1:14" x14ac:dyDescent="0.25">
      <c r="A58" s="242"/>
      <c r="B58" s="243"/>
      <c r="C58" s="243"/>
      <c r="D58" s="243"/>
      <c r="E58" s="243"/>
      <c r="F58" s="243"/>
      <c r="L58"/>
      <c r="M58"/>
      <c r="N58"/>
    </row>
    <row r="59" spans="1:14" x14ac:dyDescent="0.25">
      <c r="A59" s="242"/>
      <c r="B59" s="243"/>
      <c r="C59" s="243"/>
      <c r="D59" s="243"/>
      <c r="E59" s="243"/>
      <c r="F59" s="243"/>
      <c r="L59"/>
      <c r="M59"/>
      <c r="N59"/>
    </row>
    <row r="60" spans="1:14" x14ac:dyDescent="0.25">
      <c r="A60" s="242"/>
      <c r="B60" s="243"/>
      <c r="C60" s="243"/>
      <c r="D60" s="243"/>
      <c r="E60" s="243"/>
      <c r="F60" s="243"/>
      <c r="L60"/>
      <c r="M60"/>
      <c r="N60"/>
    </row>
    <row r="61" spans="1:14" x14ac:dyDescent="0.25">
      <c r="A61" s="242"/>
      <c r="B61" s="243"/>
      <c r="C61" s="243"/>
      <c r="D61" s="243"/>
      <c r="E61" s="243"/>
      <c r="F61" s="243"/>
      <c r="L61"/>
      <c r="M61"/>
      <c r="N61"/>
    </row>
    <row r="62" spans="1:14" x14ac:dyDescent="0.25">
      <c r="A62"/>
      <c r="B62"/>
      <c r="C62"/>
      <c r="D62"/>
      <c r="E62"/>
      <c r="F62"/>
      <c r="G62"/>
      <c r="L62"/>
      <c r="M62"/>
      <c r="N62"/>
    </row>
    <row r="63" spans="1:14" x14ac:dyDescent="0.25">
      <c r="A63"/>
      <c r="B63"/>
      <c r="C63"/>
      <c r="D63"/>
      <c r="E63"/>
      <c r="F63"/>
      <c r="G63"/>
      <c r="L63"/>
      <c r="M63"/>
      <c r="N63"/>
    </row>
    <row r="64" spans="1:14" x14ac:dyDescent="0.25">
      <c r="A64"/>
      <c r="B64"/>
      <c r="C64"/>
      <c r="D64"/>
      <c r="E64"/>
      <c r="F64"/>
      <c r="G64"/>
      <c r="H64"/>
      <c r="I64"/>
      <c r="L64"/>
      <c r="M64"/>
      <c r="N64"/>
    </row>
    <row r="65" spans="1:14" x14ac:dyDescent="0.25">
      <c r="A65"/>
      <c r="B65"/>
      <c r="C65"/>
      <c r="D65"/>
      <c r="E65"/>
      <c r="F65"/>
      <c r="G65"/>
      <c r="H65"/>
      <c r="I65"/>
      <c r="L65"/>
      <c r="M65"/>
      <c r="N65"/>
    </row>
    <row r="66" spans="1:14" x14ac:dyDescent="0.25">
      <c r="A66"/>
      <c r="B66"/>
      <c r="C66"/>
      <c r="D66"/>
      <c r="E66"/>
      <c r="F66"/>
      <c r="G66"/>
      <c r="H66"/>
      <c r="I66"/>
      <c r="L66"/>
      <c r="M66"/>
      <c r="N66"/>
    </row>
    <row r="67" spans="1:14" x14ac:dyDescent="0.25">
      <c r="A67"/>
      <c r="B67"/>
      <c r="C67"/>
      <c r="D67"/>
      <c r="E67"/>
      <c r="F67"/>
      <c r="G67"/>
      <c r="H67"/>
      <c r="I67"/>
    </row>
    <row r="68" spans="1:14" x14ac:dyDescent="0.25">
      <c r="A68"/>
      <c r="B68"/>
      <c r="C68"/>
      <c r="D68"/>
      <c r="E68"/>
      <c r="F68"/>
      <c r="G68"/>
      <c r="H68"/>
      <c r="I68"/>
    </row>
    <row r="69" spans="1:14" x14ac:dyDescent="0.25">
      <c r="A69"/>
      <c r="B69"/>
      <c r="C69"/>
      <c r="D69"/>
      <c r="E69"/>
      <c r="F69"/>
      <c r="G69"/>
      <c r="H69"/>
      <c r="I69"/>
    </row>
    <row r="70" spans="1:14" x14ac:dyDescent="0.25">
      <c r="A70"/>
      <c r="B70"/>
      <c r="C70"/>
      <c r="D70"/>
      <c r="E70"/>
      <c r="F70"/>
      <c r="G70"/>
      <c r="H70"/>
      <c r="I70"/>
    </row>
    <row r="71" spans="1:14" x14ac:dyDescent="0.25">
      <c r="A71"/>
      <c r="B71"/>
      <c r="C71"/>
      <c r="D71"/>
      <c r="E71"/>
      <c r="F71"/>
      <c r="G71"/>
      <c r="H71"/>
      <c r="I71"/>
    </row>
  </sheetData>
  <mergeCells count="5">
    <mergeCell ref="B4:F4"/>
    <mergeCell ref="H4:L4"/>
    <mergeCell ref="N4:R4"/>
    <mergeCell ref="T4:X4"/>
    <mergeCell ref="Z4:AD4"/>
  </mergeCells>
  <pageMargins left="0.7" right="0.7" top="0.75" bottom="0.75" header="0.3" footer="0.3"/>
  <ignoredErrors>
    <ignoredError sqref="B57:F57"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C194C-03BB-421D-9ECA-821ADBDEC20E}">
  <dimension ref="A1:F29"/>
  <sheetViews>
    <sheetView workbookViewId="0"/>
  </sheetViews>
  <sheetFormatPr defaultRowHeight="12.75" x14ac:dyDescent="0.2"/>
  <cols>
    <col min="1" max="1" width="21.42578125" customWidth="1"/>
    <col min="2" max="2" width="56.28515625" customWidth="1"/>
    <col min="3" max="5" width="21.140625" customWidth="1"/>
  </cols>
  <sheetData>
    <row r="1" spans="1:6" ht="18.75" x14ac:dyDescent="0.3">
      <c r="A1" s="2" t="s">
        <v>65</v>
      </c>
      <c r="B1" s="73"/>
      <c r="C1" s="94" t="s">
        <v>33</v>
      </c>
      <c r="E1" s="73"/>
      <c r="F1" s="73"/>
    </row>
    <row r="2" spans="1:6" ht="15.75" x14ac:dyDescent="0.25">
      <c r="A2" s="3" t="str">
        <f>'Table of Contents'!A2</f>
        <v>Final 2020 RTF Work Plan, Approved by the Council on October 16, 2019</v>
      </c>
      <c r="B2" s="73"/>
      <c r="C2" s="93">
        <f>E26</f>
        <v>176000</v>
      </c>
      <c r="E2" s="74"/>
      <c r="F2" s="73"/>
    </row>
    <row r="3" spans="1:6" ht="15.75" x14ac:dyDescent="0.25">
      <c r="A3" s="58"/>
      <c r="B3" s="73"/>
      <c r="C3" s="73"/>
      <c r="E3" s="73"/>
      <c r="F3" s="73"/>
    </row>
    <row r="4" spans="1:6" ht="15.75" x14ac:dyDescent="0.25">
      <c r="A4" s="75" t="s">
        <v>66</v>
      </c>
      <c r="B4" s="76"/>
      <c r="C4" s="95">
        <f>E21</f>
        <v>2.6500000000000004</v>
      </c>
      <c r="D4" s="96" t="s">
        <v>34</v>
      </c>
    </row>
    <row r="5" spans="1:6" ht="15.75" x14ac:dyDescent="0.25">
      <c r="A5" s="73"/>
      <c r="B5" s="73"/>
      <c r="C5" s="73"/>
      <c r="D5" s="73"/>
      <c r="E5" s="73"/>
    </row>
    <row r="6" spans="1:6" ht="47.25" x14ac:dyDescent="0.25">
      <c r="A6" s="77" t="s">
        <v>35</v>
      </c>
      <c r="B6" s="77" t="s">
        <v>36</v>
      </c>
      <c r="C6" s="77" t="s">
        <v>37</v>
      </c>
      <c r="D6" s="77" t="s">
        <v>38</v>
      </c>
      <c r="E6" s="77" t="s">
        <v>39</v>
      </c>
    </row>
    <row r="7" spans="1:6" ht="15.75" x14ac:dyDescent="0.25">
      <c r="A7" s="78" t="s">
        <v>40</v>
      </c>
      <c r="B7" s="78" t="s">
        <v>41</v>
      </c>
      <c r="C7" s="79">
        <v>0.02</v>
      </c>
      <c r="D7" s="79">
        <v>0.01</v>
      </c>
      <c r="E7" s="80">
        <f t="shared" ref="E7:E9" si="0">SUM(C7:D7)</f>
        <v>0.03</v>
      </c>
    </row>
    <row r="8" spans="1:6" ht="15.75" x14ac:dyDescent="0.25">
      <c r="A8" s="78" t="s">
        <v>42</v>
      </c>
      <c r="B8" s="78" t="s">
        <v>43</v>
      </c>
      <c r="C8" s="79">
        <v>0.02</v>
      </c>
      <c r="D8" s="79">
        <v>0.05</v>
      </c>
      <c r="E8" s="80">
        <f t="shared" si="0"/>
        <v>7.0000000000000007E-2</v>
      </c>
    </row>
    <row r="9" spans="1:6" ht="15.75" x14ac:dyDescent="0.25">
      <c r="A9" s="81" t="s">
        <v>44</v>
      </c>
      <c r="B9" s="81" t="s">
        <v>45</v>
      </c>
      <c r="C9" s="82">
        <v>0</v>
      </c>
      <c r="D9" s="79">
        <v>0.03</v>
      </c>
      <c r="E9" s="83">
        <f t="shared" si="0"/>
        <v>0.03</v>
      </c>
    </row>
    <row r="10" spans="1:6" ht="15.75" x14ac:dyDescent="0.25">
      <c r="A10" s="81" t="s">
        <v>46</v>
      </c>
      <c r="B10" s="78" t="s">
        <v>47</v>
      </c>
      <c r="C10" s="82">
        <v>0</v>
      </c>
      <c r="D10" s="79">
        <v>0.08</v>
      </c>
      <c r="E10" s="83">
        <f>SUM(C10:D10)</f>
        <v>0.08</v>
      </c>
    </row>
    <row r="11" spans="1:6" ht="15.75" x14ac:dyDescent="0.25">
      <c r="A11" s="81" t="s">
        <v>48</v>
      </c>
      <c r="B11" s="78" t="s">
        <v>49</v>
      </c>
      <c r="C11" s="82">
        <v>0</v>
      </c>
      <c r="D11" s="79">
        <v>0.08</v>
      </c>
      <c r="E11" s="83">
        <f>SUM(C11:D11)</f>
        <v>0.08</v>
      </c>
    </row>
    <row r="12" spans="1:6" ht="15.75" x14ac:dyDescent="0.25">
      <c r="A12" s="81" t="s">
        <v>67</v>
      </c>
      <c r="B12" s="78" t="s">
        <v>68</v>
      </c>
      <c r="C12" s="82">
        <v>1</v>
      </c>
      <c r="D12" s="79">
        <v>0</v>
      </c>
      <c r="E12" s="83">
        <f t="shared" ref="E12:E19" si="1">SUM(C12:D12)</f>
        <v>1</v>
      </c>
    </row>
    <row r="13" spans="1:6" ht="15.75" x14ac:dyDescent="0.25">
      <c r="A13" s="81" t="s">
        <v>69</v>
      </c>
      <c r="B13" s="78" t="s">
        <v>68</v>
      </c>
      <c r="C13" s="82">
        <v>0.02</v>
      </c>
      <c r="D13" s="79">
        <v>0</v>
      </c>
      <c r="E13" s="83">
        <f t="shared" si="1"/>
        <v>0.02</v>
      </c>
    </row>
    <row r="14" spans="1:6" ht="15.75" x14ac:dyDescent="0.25">
      <c r="A14" s="81" t="s">
        <v>50</v>
      </c>
      <c r="B14" s="78" t="s">
        <v>51</v>
      </c>
      <c r="C14" s="82">
        <v>0.1</v>
      </c>
      <c r="D14" s="79">
        <v>0</v>
      </c>
      <c r="E14" s="83">
        <f t="shared" si="1"/>
        <v>0.1</v>
      </c>
    </row>
    <row r="15" spans="1:6" ht="15.75" x14ac:dyDescent="0.25">
      <c r="A15" s="78" t="s">
        <v>52</v>
      </c>
      <c r="B15" s="78" t="s">
        <v>53</v>
      </c>
      <c r="C15" s="79">
        <v>0.1</v>
      </c>
      <c r="D15" s="79">
        <v>0</v>
      </c>
      <c r="E15" s="80">
        <f t="shared" si="1"/>
        <v>0.1</v>
      </c>
    </row>
    <row r="16" spans="1:6" ht="15.75" x14ac:dyDescent="0.25">
      <c r="A16" s="78" t="s">
        <v>70</v>
      </c>
      <c r="B16" s="78" t="s">
        <v>54</v>
      </c>
      <c r="C16" s="79">
        <v>0.1</v>
      </c>
      <c r="D16" s="79">
        <v>0</v>
      </c>
      <c r="E16" s="84">
        <f t="shared" si="1"/>
        <v>0.1</v>
      </c>
    </row>
    <row r="17" spans="1:5" ht="15.75" x14ac:dyDescent="0.25">
      <c r="A17" s="78" t="s">
        <v>55</v>
      </c>
      <c r="B17" s="78" t="s">
        <v>56</v>
      </c>
      <c r="C17" s="79">
        <v>0.02</v>
      </c>
      <c r="D17" s="79">
        <v>0</v>
      </c>
      <c r="E17" s="84">
        <f t="shared" si="1"/>
        <v>0.02</v>
      </c>
    </row>
    <row r="18" spans="1:5" ht="15.75" x14ac:dyDescent="0.25">
      <c r="A18" s="78" t="s">
        <v>57</v>
      </c>
      <c r="B18" s="78" t="s">
        <v>58</v>
      </c>
      <c r="C18" s="79">
        <v>0.01</v>
      </c>
      <c r="D18" s="79">
        <v>0</v>
      </c>
      <c r="E18" s="84">
        <f t="shared" si="1"/>
        <v>0.01</v>
      </c>
    </row>
    <row r="19" spans="1:5" ht="15.75" x14ac:dyDescent="0.25">
      <c r="A19" s="78" t="s">
        <v>59</v>
      </c>
      <c r="B19" s="78" t="s">
        <v>60</v>
      </c>
      <c r="C19" s="79">
        <v>0.01</v>
      </c>
      <c r="D19" s="79">
        <v>0</v>
      </c>
      <c r="E19" s="84">
        <f t="shared" si="1"/>
        <v>0.01</v>
      </c>
    </row>
    <row r="20" spans="1:5" ht="15.75" x14ac:dyDescent="0.25">
      <c r="A20" s="88" t="s">
        <v>61</v>
      </c>
      <c r="B20" s="88" t="s">
        <v>62</v>
      </c>
      <c r="C20" s="89">
        <v>0.9</v>
      </c>
      <c r="D20" s="89">
        <v>0.1</v>
      </c>
      <c r="E20" s="89">
        <f>SUM(C20:D20)</f>
        <v>1</v>
      </c>
    </row>
    <row r="21" spans="1:5" ht="15.75" x14ac:dyDescent="0.25">
      <c r="A21" s="73"/>
      <c r="B21" s="90" t="s">
        <v>34</v>
      </c>
      <c r="C21" s="91">
        <f>SUM(C7:C20)</f>
        <v>2.3000000000000003</v>
      </c>
      <c r="D21" s="91">
        <f>SUM(D7:D20)</f>
        <v>0.35</v>
      </c>
      <c r="E21" s="91">
        <f>SUM(E7:E20)</f>
        <v>2.6500000000000004</v>
      </c>
    </row>
    <row r="22" spans="1:5" ht="15.75" x14ac:dyDescent="0.25">
      <c r="A22" s="73"/>
      <c r="B22" s="73"/>
      <c r="C22" s="85"/>
      <c r="D22" s="85"/>
      <c r="E22" s="93">
        <v>350000</v>
      </c>
    </row>
    <row r="23" spans="1:5" ht="15.75" x14ac:dyDescent="0.25">
      <c r="A23" s="73"/>
      <c r="B23" s="73"/>
      <c r="C23" s="76"/>
      <c r="D23" s="76"/>
      <c r="E23" s="76"/>
    </row>
    <row r="24" spans="1:5" ht="15.75" x14ac:dyDescent="0.25">
      <c r="A24" s="73"/>
      <c r="B24" s="86" t="s">
        <v>63</v>
      </c>
      <c r="C24" s="73"/>
      <c r="D24" s="73"/>
      <c r="E24" s="73"/>
    </row>
    <row r="25" spans="1:5" ht="15.75" x14ac:dyDescent="0.25">
      <c r="A25" s="73"/>
      <c r="B25" s="92" t="s">
        <v>34</v>
      </c>
      <c r="C25" s="91">
        <f>SUM(C7:C19)</f>
        <v>1.4000000000000004</v>
      </c>
      <c r="D25" s="91">
        <f>SUM(D7:D19)</f>
        <v>0.25</v>
      </c>
      <c r="E25" s="91">
        <f>SUM(E7:E19)</f>
        <v>1.6500000000000004</v>
      </c>
    </row>
    <row r="26" spans="1:5" ht="15.75" x14ac:dyDescent="0.25">
      <c r="A26" s="73"/>
      <c r="B26" s="73"/>
      <c r="C26" s="85"/>
      <c r="D26" s="85"/>
      <c r="E26" s="93">
        <f>E22-'Category Detail (2020)'!D74</f>
        <v>176000</v>
      </c>
    </row>
    <row r="27" spans="1:5" ht="15.75" x14ac:dyDescent="0.25">
      <c r="A27" s="73"/>
      <c r="B27" s="73"/>
      <c r="C27" s="73"/>
      <c r="D27" s="73"/>
      <c r="E27" s="73"/>
    </row>
    <row r="28" spans="1:5" ht="15.75" x14ac:dyDescent="0.25">
      <c r="A28" s="73"/>
      <c r="B28" s="73"/>
      <c r="C28" s="73"/>
      <c r="D28" s="87"/>
      <c r="E28" s="73"/>
    </row>
    <row r="29" spans="1:5" ht="15.75" x14ac:dyDescent="0.25">
      <c r="A29" s="73"/>
      <c r="B29" s="73"/>
      <c r="C29" s="73"/>
      <c r="D29" s="73"/>
      <c r="E29" s="7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F953-1B7B-4C81-8178-D3F88728C899}">
  <dimension ref="A1:H25"/>
  <sheetViews>
    <sheetView workbookViewId="0">
      <selection activeCell="A2" sqref="A2"/>
    </sheetView>
  </sheetViews>
  <sheetFormatPr defaultRowHeight="15.75" x14ac:dyDescent="0.25"/>
  <cols>
    <col min="1" max="1" width="34.28515625" style="1" customWidth="1"/>
    <col min="2" max="2" width="17.28515625" style="1" customWidth="1"/>
    <col min="3" max="8" width="14.28515625" style="1" customWidth="1"/>
    <col min="9" max="16384" width="9.140625" style="1"/>
  </cols>
  <sheetData>
    <row r="1" spans="1:8" ht="18.75" x14ac:dyDescent="0.3">
      <c r="A1" s="2" t="s">
        <v>237</v>
      </c>
    </row>
    <row r="2" spans="1:8" x14ac:dyDescent="0.25">
      <c r="A2" s="3" t="str">
        <f>'Table of Contents'!A2</f>
        <v>Final 2020 RTF Work Plan, Approved by the Council on October 16, 2019</v>
      </c>
    </row>
    <row r="3" spans="1:8" ht="16.5" thickBot="1" x14ac:dyDescent="0.3"/>
    <row r="4" spans="1:8" ht="16.5" thickBot="1" x14ac:dyDescent="0.3">
      <c r="A4" s="384" t="s">
        <v>238</v>
      </c>
      <c r="B4" s="386" t="s">
        <v>239</v>
      </c>
      <c r="C4" s="389" t="s">
        <v>240</v>
      </c>
      <c r="D4" s="390"/>
      <c r="E4" s="390"/>
      <c r="F4" s="390"/>
      <c r="G4" s="390"/>
      <c r="H4" s="345"/>
    </row>
    <row r="5" spans="1:8" ht="16.5" thickBot="1" x14ac:dyDescent="0.3">
      <c r="A5" s="385"/>
      <c r="B5" s="387"/>
      <c r="C5" s="346">
        <v>2020</v>
      </c>
      <c r="D5" s="346">
        <v>2021</v>
      </c>
      <c r="E5" s="346">
        <v>2022</v>
      </c>
      <c r="F5" s="346">
        <v>2023</v>
      </c>
      <c r="G5" s="346">
        <v>2024</v>
      </c>
      <c r="H5" s="347" t="s">
        <v>190</v>
      </c>
    </row>
    <row r="6" spans="1:8" ht="16.5" thickBot="1" x14ac:dyDescent="0.3">
      <c r="A6" s="385"/>
      <c r="B6" s="388"/>
      <c r="C6" s="343">
        <v>1800000</v>
      </c>
      <c r="D6" s="344">
        <v>1845000</v>
      </c>
      <c r="E6" s="344">
        <v>1891100</v>
      </c>
      <c r="F6" s="344">
        <v>1938400</v>
      </c>
      <c r="G6" s="348">
        <v>1986800</v>
      </c>
      <c r="H6" s="349">
        <v>9461300</v>
      </c>
    </row>
    <row r="7" spans="1:8" x14ac:dyDescent="0.25">
      <c r="A7" s="350" t="s">
        <v>241</v>
      </c>
      <c r="B7" s="351">
        <v>0.30028642998319471</v>
      </c>
      <c r="C7" s="352">
        <v>540500</v>
      </c>
      <c r="D7" s="352">
        <v>554000</v>
      </c>
      <c r="E7" s="352">
        <v>567900</v>
      </c>
      <c r="F7" s="352">
        <v>582100</v>
      </c>
      <c r="G7" s="352">
        <v>596600</v>
      </c>
      <c r="H7" s="353">
        <v>2841100</v>
      </c>
    </row>
    <row r="8" spans="1:8" x14ac:dyDescent="0.25">
      <c r="A8" s="354" t="s">
        <v>242</v>
      </c>
      <c r="B8" s="355">
        <v>0.22542356758584972</v>
      </c>
      <c r="C8" s="352">
        <v>405800</v>
      </c>
      <c r="D8" s="352">
        <v>415900</v>
      </c>
      <c r="E8" s="352">
        <v>426300</v>
      </c>
      <c r="F8" s="356">
        <v>436900</v>
      </c>
      <c r="G8" s="352">
        <v>447900</v>
      </c>
      <c r="H8" s="357">
        <v>2132800</v>
      </c>
    </row>
    <row r="9" spans="1:8" x14ac:dyDescent="0.25">
      <c r="A9" s="354" t="s">
        <v>243</v>
      </c>
      <c r="B9" s="355">
        <v>0.18987876930231576</v>
      </c>
      <c r="C9" s="352">
        <v>341800</v>
      </c>
      <c r="D9" s="352">
        <v>350300</v>
      </c>
      <c r="E9" s="352">
        <v>359100</v>
      </c>
      <c r="F9" s="356">
        <v>368100</v>
      </c>
      <c r="G9" s="352">
        <v>377200</v>
      </c>
      <c r="H9" s="357">
        <v>1796500</v>
      </c>
    </row>
    <row r="10" spans="1:8" x14ac:dyDescent="0.25">
      <c r="A10" s="354" t="s">
        <v>244</v>
      </c>
      <c r="B10" s="355">
        <v>7.5391331001025227E-2</v>
      </c>
      <c r="C10" s="352">
        <v>135700</v>
      </c>
      <c r="D10" s="352">
        <v>139100</v>
      </c>
      <c r="E10" s="352">
        <v>142600</v>
      </c>
      <c r="F10" s="356">
        <v>146100</v>
      </c>
      <c r="G10" s="352">
        <v>149800</v>
      </c>
      <c r="H10" s="357">
        <v>713300</v>
      </c>
    </row>
    <row r="11" spans="1:8" x14ac:dyDescent="0.25">
      <c r="A11" s="354" t="s">
        <v>245</v>
      </c>
      <c r="B11" s="355">
        <v>6.7791952480103154E-2</v>
      </c>
      <c r="C11" s="352">
        <v>122100</v>
      </c>
      <c r="D11" s="352">
        <v>125100</v>
      </c>
      <c r="E11" s="352">
        <v>128100</v>
      </c>
      <c r="F11" s="356">
        <v>131400</v>
      </c>
      <c r="G11" s="352">
        <v>134700</v>
      </c>
      <c r="H11" s="357">
        <v>641400</v>
      </c>
    </row>
    <row r="12" spans="1:8" x14ac:dyDescent="0.25">
      <c r="A12" s="354" t="s">
        <v>246</v>
      </c>
      <c r="B12" s="355">
        <v>2.084280172914927E-2</v>
      </c>
      <c r="C12" s="352">
        <v>37500</v>
      </c>
      <c r="D12" s="352">
        <v>38500</v>
      </c>
      <c r="E12" s="352">
        <v>39400</v>
      </c>
      <c r="F12" s="356">
        <v>40400</v>
      </c>
      <c r="G12" s="352">
        <v>41400</v>
      </c>
      <c r="H12" s="357">
        <v>197200</v>
      </c>
    </row>
    <row r="13" spans="1:8" x14ac:dyDescent="0.25">
      <c r="A13" s="358" t="s">
        <v>247</v>
      </c>
      <c r="B13" s="355">
        <v>1.777768382780379E-2</v>
      </c>
      <c r="C13" s="352">
        <v>32000</v>
      </c>
      <c r="D13" s="352">
        <v>32800</v>
      </c>
      <c r="E13" s="352">
        <v>33600</v>
      </c>
      <c r="F13" s="356">
        <v>34500</v>
      </c>
      <c r="G13" s="352">
        <v>35300</v>
      </c>
      <c r="H13" s="357">
        <v>168200</v>
      </c>
    </row>
    <row r="14" spans="1:8" x14ac:dyDescent="0.25">
      <c r="A14" s="354" t="s">
        <v>257</v>
      </c>
      <c r="B14" s="355">
        <v>1.7016689038504222E-2</v>
      </c>
      <c r="C14" s="352">
        <v>30600</v>
      </c>
      <c r="D14" s="352">
        <v>31400</v>
      </c>
      <c r="E14" s="352">
        <v>32200</v>
      </c>
      <c r="F14" s="352">
        <v>33000</v>
      </c>
      <c r="G14" s="352">
        <v>33800</v>
      </c>
      <c r="H14" s="357">
        <v>161000</v>
      </c>
    </row>
    <row r="15" spans="1:8" x14ac:dyDescent="0.25">
      <c r="A15" s="354" t="s">
        <v>248</v>
      </c>
      <c r="B15" s="355">
        <v>2.8621859575322629E-2</v>
      </c>
      <c r="C15" s="352">
        <v>51500</v>
      </c>
      <c r="D15" s="352">
        <v>52800</v>
      </c>
      <c r="E15" s="352">
        <v>54100</v>
      </c>
      <c r="F15" s="352">
        <v>55500</v>
      </c>
      <c r="G15" s="352">
        <v>56900</v>
      </c>
      <c r="H15" s="357">
        <v>270800</v>
      </c>
    </row>
    <row r="16" spans="1:8" x14ac:dyDescent="0.25">
      <c r="A16" s="354" t="s">
        <v>249</v>
      </c>
      <c r="B16" s="355">
        <v>1.0231152167249744E-2</v>
      </c>
      <c r="C16" s="352">
        <v>18400</v>
      </c>
      <c r="D16" s="352">
        <v>18900</v>
      </c>
      <c r="E16" s="352">
        <v>19400</v>
      </c>
      <c r="F16" s="352">
        <v>19800</v>
      </c>
      <c r="G16" s="352">
        <v>20300</v>
      </c>
      <c r="H16" s="357">
        <v>96800</v>
      </c>
    </row>
    <row r="17" spans="1:8" x14ac:dyDescent="0.25">
      <c r="A17" s="354" t="s">
        <v>250</v>
      </c>
      <c r="B17" s="355">
        <v>7.7367803578789387E-3</v>
      </c>
      <c r="C17" s="352">
        <v>13900</v>
      </c>
      <c r="D17" s="352">
        <v>14300</v>
      </c>
      <c r="E17" s="352">
        <v>14600</v>
      </c>
      <c r="F17" s="352">
        <v>15000</v>
      </c>
      <c r="G17" s="352">
        <v>15400</v>
      </c>
      <c r="H17" s="357">
        <v>73200</v>
      </c>
    </row>
    <row r="18" spans="1:8" x14ac:dyDescent="0.25">
      <c r="A18" s="354" t="s">
        <v>251</v>
      </c>
      <c r="B18" s="355">
        <v>5.4326572458330254E-3</v>
      </c>
      <c r="C18" s="352">
        <v>9800</v>
      </c>
      <c r="D18" s="352">
        <v>10000</v>
      </c>
      <c r="E18" s="352">
        <v>10300</v>
      </c>
      <c r="F18" s="352">
        <v>10500</v>
      </c>
      <c r="G18" s="352">
        <v>10800</v>
      </c>
      <c r="H18" s="357">
        <v>51400</v>
      </c>
    </row>
    <row r="19" spans="1:8" x14ac:dyDescent="0.25">
      <c r="A19" s="354" t="s">
        <v>252</v>
      </c>
      <c r="B19" s="355">
        <v>1.7439463921448428E-3</v>
      </c>
      <c r="C19" s="352">
        <v>3100</v>
      </c>
      <c r="D19" s="352">
        <v>3200</v>
      </c>
      <c r="E19" s="352">
        <v>3300</v>
      </c>
      <c r="F19" s="352">
        <v>3400</v>
      </c>
      <c r="G19" s="352">
        <v>3500</v>
      </c>
      <c r="H19" s="357">
        <v>16500</v>
      </c>
    </row>
    <row r="20" spans="1:8" x14ac:dyDescent="0.25">
      <c r="A20" s="358" t="s">
        <v>253</v>
      </c>
      <c r="B20" s="355">
        <v>8.1067083804551177E-3</v>
      </c>
      <c r="C20" s="352">
        <v>14600</v>
      </c>
      <c r="D20" s="352">
        <v>15000</v>
      </c>
      <c r="E20" s="352">
        <v>15300</v>
      </c>
      <c r="F20" s="352">
        <v>15700</v>
      </c>
      <c r="G20" s="352">
        <v>16100</v>
      </c>
      <c r="H20" s="357">
        <v>76700</v>
      </c>
    </row>
    <row r="21" spans="1:8" x14ac:dyDescent="0.25">
      <c r="A21" s="358" t="s">
        <v>254</v>
      </c>
      <c r="B21" s="355">
        <v>1.5325589506727405E-3</v>
      </c>
      <c r="C21" s="352">
        <v>2800</v>
      </c>
      <c r="D21" s="352">
        <v>2800</v>
      </c>
      <c r="E21" s="352">
        <v>2900</v>
      </c>
      <c r="F21" s="352">
        <v>3000</v>
      </c>
      <c r="G21" s="352">
        <v>3000</v>
      </c>
      <c r="H21" s="357">
        <v>14500</v>
      </c>
    </row>
    <row r="22" spans="1:8" x14ac:dyDescent="0.25">
      <c r="A22" s="354" t="s">
        <v>255</v>
      </c>
      <c r="B22" s="355">
        <v>1.6593914155560018E-2</v>
      </c>
      <c r="C22" s="352">
        <v>29800</v>
      </c>
      <c r="D22" s="352">
        <v>30600</v>
      </c>
      <c r="E22" s="352">
        <v>31400</v>
      </c>
      <c r="F22" s="352">
        <v>32200</v>
      </c>
      <c r="G22" s="352">
        <v>33000</v>
      </c>
      <c r="H22" s="357">
        <v>157000</v>
      </c>
    </row>
    <row r="23" spans="1:8" ht="16.5" thickBot="1" x14ac:dyDescent="0.3">
      <c r="A23" s="359" t="s">
        <v>256</v>
      </c>
      <c r="B23" s="360">
        <v>5.5911978269371013E-3</v>
      </c>
      <c r="C23" s="352">
        <v>10100</v>
      </c>
      <c r="D23" s="352">
        <v>10300</v>
      </c>
      <c r="E23" s="352">
        <v>10600</v>
      </c>
      <c r="F23" s="352">
        <v>10800</v>
      </c>
      <c r="G23" s="352">
        <v>11100</v>
      </c>
      <c r="H23" s="361">
        <v>52900</v>
      </c>
    </row>
    <row r="24" spans="1:8" ht="16.5" thickBot="1" x14ac:dyDescent="0.3">
      <c r="A24" s="362" t="s">
        <v>190</v>
      </c>
      <c r="B24" s="363">
        <v>0.99999999999999989</v>
      </c>
      <c r="C24" s="364">
        <v>1800000</v>
      </c>
      <c r="D24" s="365">
        <v>1845000</v>
      </c>
      <c r="E24" s="365">
        <v>1891100</v>
      </c>
      <c r="F24" s="365">
        <v>1938400</v>
      </c>
      <c r="G24" s="366">
        <v>1986800</v>
      </c>
      <c r="H24" s="367">
        <v>9461300</v>
      </c>
    </row>
    <row r="25" spans="1:8" x14ac:dyDescent="0.25">
      <c r="A25" s="1" t="s">
        <v>258</v>
      </c>
    </row>
  </sheetData>
  <mergeCells count="3">
    <mergeCell ref="A4:A6"/>
    <mergeCell ref="B4:B6"/>
    <mergeCell ref="C4:G4"/>
  </mergeCells>
  <conditionalFormatting sqref="C24:G24">
    <cfRule type="cellIs" dxfId="0" priority="1" operator="equal">
      <formula>C$82</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DEB8-4813-457F-AC36-15A5C0DD3FF2}">
  <dimension ref="A1:U63"/>
  <sheetViews>
    <sheetView workbookViewId="0"/>
  </sheetViews>
  <sheetFormatPr defaultColWidth="8.85546875" defaultRowHeight="15.75" x14ac:dyDescent="0.25"/>
  <cols>
    <col min="1" max="1" width="55" style="1" customWidth="1"/>
    <col min="2" max="2" width="13.7109375" style="1" customWidth="1"/>
    <col min="3" max="3" width="9.140625" style="1" bestFit="1" customWidth="1"/>
    <col min="4" max="4" width="9.42578125" style="1" bestFit="1" customWidth="1"/>
    <col min="5" max="5" width="12.7109375" style="1" bestFit="1" customWidth="1"/>
    <col min="6" max="7" width="8.85546875" style="1"/>
    <col min="8" max="8" width="11" style="1" customWidth="1"/>
    <col min="9" max="9" width="11.28515625" style="1" bestFit="1" customWidth="1"/>
    <col min="10" max="10" width="12.42578125" style="1" bestFit="1" customWidth="1"/>
    <col min="11" max="11" width="8.85546875" style="1"/>
    <col min="12" max="12" width="12.42578125" style="1" bestFit="1" customWidth="1"/>
    <col min="13" max="13" width="13.28515625" style="1" bestFit="1" customWidth="1"/>
    <col min="14" max="14" width="15" style="1" bestFit="1" customWidth="1"/>
    <col min="15" max="15" width="15.7109375" style="1" bestFit="1" customWidth="1"/>
    <col min="16" max="16" width="12.7109375" style="1" bestFit="1" customWidth="1"/>
    <col min="17" max="17" width="14" style="1" bestFit="1" customWidth="1"/>
    <col min="18" max="18" width="12.7109375" style="1" bestFit="1" customWidth="1"/>
    <col min="19" max="16384" width="8.85546875" style="1"/>
  </cols>
  <sheetData>
    <row r="1" spans="1:18" ht="18.75" x14ac:dyDescent="0.3">
      <c r="A1" s="2" t="s">
        <v>0</v>
      </c>
    </row>
    <row r="2" spans="1:18" x14ac:dyDescent="0.25">
      <c r="A2" s="3" t="str">
        <f>'Table of Contents'!A2</f>
        <v>Final 2020 RTF Work Plan, Approved by the Council on October 16, 2019</v>
      </c>
    </row>
    <row r="3" spans="1:18" x14ac:dyDescent="0.25">
      <c r="N3"/>
      <c r="O3"/>
      <c r="P3"/>
      <c r="Q3"/>
      <c r="R3"/>
    </row>
    <row r="4" spans="1:18" x14ac:dyDescent="0.25">
      <c r="A4" s="4" t="s">
        <v>1</v>
      </c>
      <c r="B4" s="4" t="s">
        <v>2</v>
      </c>
      <c r="C4" s="4" t="s">
        <v>3</v>
      </c>
      <c r="D4" s="4" t="s">
        <v>4</v>
      </c>
      <c r="E4" s="4" t="s">
        <v>5</v>
      </c>
      <c r="F4" s="4" t="s">
        <v>6</v>
      </c>
      <c r="G4" s="5"/>
      <c r="H4" s="4" t="s">
        <v>7</v>
      </c>
      <c r="I4" s="4" t="s">
        <v>8</v>
      </c>
      <c r="J4" s="5"/>
      <c r="K4" s="4" t="s">
        <v>9</v>
      </c>
      <c r="L4" s="4" t="s">
        <v>10</v>
      </c>
      <c r="M4" s="4" t="s">
        <v>11</v>
      </c>
    </row>
    <row r="5" spans="1:18" x14ac:dyDescent="0.25">
      <c r="B5" s="6">
        <f>C5*12</f>
        <v>124800</v>
      </c>
      <c r="C5" s="6">
        <f>D5*(52/12)</f>
        <v>10400</v>
      </c>
      <c r="D5" s="6">
        <f>E5*5</f>
        <v>2400</v>
      </c>
      <c r="E5" s="6">
        <f>F5*8</f>
        <v>480</v>
      </c>
      <c r="F5" s="7">
        <v>60</v>
      </c>
      <c r="H5" s="6">
        <f>E5*52</f>
        <v>24960</v>
      </c>
      <c r="I5" s="6">
        <f>H5*2</f>
        <v>49920</v>
      </c>
      <c r="K5" s="6">
        <f>E5*12</f>
        <v>5760</v>
      </c>
      <c r="L5" s="6">
        <f>K5*2</f>
        <v>11520</v>
      </c>
      <c r="M5" s="6">
        <f>K5*3</f>
        <v>17280</v>
      </c>
    </row>
    <row r="6" spans="1:18" x14ac:dyDescent="0.25">
      <c r="B6" s="6">
        <f>C6*12</f>
        <v>166400</v>
      </c>
      <c r="C6" s="6">
        <f>D6*(52/12)</f>
        <v>13866.666666666666</v>
      </c>
      <c r="D6" s="6">
        <f>E6*5</f>
        <v>3200</v>
      </c>
      <c r="E6" s="6">
        <f>F6*8</f>
        <v>640</v>
      </c>
      <c r="F6" s="7">
        <v>80</v>
      </c>
      <c r="H6" s="6">
        <f t="shared" ref="H6:H10" si="0">E6*52</f>
        <v>33280</v>
      </c>
      <c r="I6" s="6">
        <f t="shared" ref="I6:I12" si="1">H6*2</f>
        <v>66560</v>
      </c>
      <c r="K6" s="6">
        <f t="shared" ref="K6:K12" si="2">E6*12</f>
        <v>7680</v>
      </c>
      <c r="L6" s="6">
        <f t="shared" ref="L6:L12" si="3">K6*2</f>
        <v>15360</v>
      </c>
      <c r="M6" s="6">
        <f t="shared" ref="M6:M12" si="4">K6*3</f>
        <v>23040</v>
      </c>
    </row>
    <row r="7" spans="1:18" x14ac:dyDescent="0.25">
      <c r="B7" s="6">
        <f t="shared" ref="B7:B10" si="5">C7*12</f>
        <v>208000</v>
      </c>
      <c r="C7" s="6">
        <f t="shared" ref="C7:C10" si="6">D7*(52/12)</f>
        <v>17333.333333333332</v>
      </c>
      <c r="D7" s="6">
        <f t="shared" ref="D7:D12" si="7">E7*5</f>
        <v>4000</v>
      </c>
      <c r="E7" s="6">
        <f t="shared" ref="E7:E12" si="8">F7*8</f>
        <v>800</v>
      </c>
      <c r="F7" s="7">
        <v>100</v>
      </c>
      <c r="H7" s="6">
        <f t="shared" si="0"/>
        <v>41600</v>
      </c>
      <c r="I7" s="6">
        <f t="shared" si="1"/>
        <v>83200</v>
      </c>
      <c r="K7" s="6">
        <f t="shared" si="2"/>
        <v>9600</v>
      </c>
      <c r="L7" s="6">
        <f t="shared" si="3"/>
        <v>19200</v>
      </c>
      <c r="M7" s="6">
        <f t="shared" si="4"/>
        <v>28800</v>
      </c>
    </row>
    <row r="8" spans="1:18" x14ac:dyDescent="0.25">
      <c r="A8" s="8"/>
      <c r="B8" s="6">
        <f t="shared" si="5"/>
        <v>249600</v>
      </c>
      <c r="C8" s="6">
        <f t="shared" si="6"/>
        <v>20800</v>
      </c>
      <c r="D8" s="6">
        <f t="shared" si="7"/>
        <v>4800</v>
      </c>
      <c r="E8" s="6">
        <f t="shared" si="8"/>
        <v>960</v>
      </c>
      <c r="F8" s="7">
        <v>120</v>
      </c>
      <c r="H8" s="6">
        <f t="shared" si="0"/>
        <v>49920</v>
      </c>
      <c r="I8" s="6">
        <f t="shared" si="1"/>
        <v>99840</v>
      </c>
      <c r="K8" s="6">
        <f t="shared" si="2"/>
        <v>11520</v>
      </c>
      <c r="L8" s="6">
        <f t="shared" si="3"/>
        <v>23040</v>
      </c>
      <c r="M8" s="6">
        <f t="shared" si="4"/>
        <v>34560</v>
      </c>
    </row>
    <row r="9" spans="1:18" x14ac:dyDescent="0.25">
      <c r="B9" s="6">
        <f t="shared" si="5"/>
        <v>312000</v>
      </c>
      <c r="C9" s="6">
        <f t="shared" si="6"/>
        <v>26000</v>
      </c>
      <c r="D9" s="6">
        <f t="shared" si="7"/>
        <v>6000</v>
      </c>
      <c r="E9" s="6">
        <f t="shared" si="8"/>
        <v>1200</v>
      </c>
      <c r="F9" s="7">
        <v>150</v>
      </c>
      <c r="H9" s="6">
        <f t="shared" si="0"/>
        <v>62400</v>
      </c>
      <c r="I9" s="6">
        <f t="shared" si="1"/>
        <v>124800</v>
      </c>
      <c r="K9" s="6">
        <f t="shared" si="2"/>
        <v>14400</v>
      </c>
      <c r="L9" s="6">
        <f t="shared" si="3"/>
        <v>28800</v>
      </c>
      <c r="M9" s="6">
        <f t="shared" si="4"/>
        <v>43200</v>
      </c>
    </row>
    <row r="10" spans="1:18" x14ac:dyDescent="0.25">
      <c r="B10" s="6">
        <f t="shared" si="5"/>
        <v>416000</v>
      </c>
      <c r="C10" s="6">
        <f t="shared" si="6"/>
        <v>34666.666666666664</v>
      </c>
      <c r="D10" s="6">
        <f t="shared" si="7"/>
        <v>8000</v>
      </c>
      <c r="E10" s="6">
        <f t="shared" si="8"/>
        <v>1600</v>
      </c>
      <c r="F10" s="7">
        <v>200</v>
      </c>
      <c r="H10" s="6">
        <f t="shared" si="0"/>
        <v>83200</v>
      </c>
      <c r="I10" s="6">
        <f t="shared" si="1"/>
        <v>166400</v>
      </c>
      <c r="K10" s="6">
        <f t="shared" si="2"/>
        <v>19200</v>
      </c>
      <c r="L10" s="6">
        <f t="shared" si="3"/>
        <v>38400</v>
      </c>
      <c r="M10" s="6">
        <f t="shared" si="4"/>
        <v>57600</v>
      </c>
    </row>
    <row r="11" spans="1:18" x14ac:dyDescent="0.25">
      <c r="B11" s="6">
        <f>C11*12</f>
        <v>519999.99999999994</v>
      </c>
      <c r="C11" s="6">
        <f>D11*(52/12)</f>
        <v>43333.333333333328</v>
      </c>
      <c r="D11" s="6">
        <f t="shared" si="7"/>
        <v>10000</v>
      </c>
      <c r="E11" s="6">
        <f t="shared" si="8"/>
        <v>2000</v>
      </c>
      <c r="F11" s="7">
        <v>250</v>
      </c>
      <c r="H11" s="6">
        <f>E11*52</f>
        <v>104000</v>
      </c>
      <c r="I11" s="6">
        <f t="shared" si="1"/>
        <v>208000</v>
      </c>
      <c r="K11" s="6">
        <f t="shared" si="2"/>
        <v>24000</v>
      </c>
      <c r="L11" s="6">
        <f t="shared" si="3"/>
        <v>48000</v>
      </c>
      <c r="M11" s="6">
        <f t="shared" si="4"/>
        <v>72000</v>
      </c>
    </row>
    <row r="12" spans="1:18" x14ac:dyDescent="0.25">
      <c r="A12" s="9" t="s">
        <v>12</v>
      </c>
      <c r="B12" s="6">
        <f>C12*12</f>
        <v>253759.99999999997</v>
      </c>
      <c r="C12" s="6">
        <f>D12*(52/12)</f>
        <v>21146.666666666664</v>
      </c>
      <c r="D12" s="6">
        <f t="shared" si="7"/>
        <v>4880</v>
      </c>
      <c r="E12" s="6">
        <f t="shared" si="8"/>
        <v>976</v>
      </c>
      <c r="F12" s="7">
        <v>122</v>
      </c>
      <c r="H12" s="6">
        <f>E12*52</f>
        <v>50752</v>
      </c>
      <c r="I12" s="6">
        <f t="shared" si="1"/>
        <v>101504</v>
      </c>
      <c r="K12" s="6">
        <f t="shared" si="2"/>
        <v>11712</v>
      </c>
      <c r="L12" s="6">
        <f t="shared" si="3"/>
        <v>23424</v>
      </c>
      <c r="M12" s="6">
        <f t="shared" si="4"/>
        <v>35136</v>
      </c>
    </row>
    <row r="14" spans="1:18" x14ac:dyDescent="0.25">
      <c r="A14" s="4" t="s">
        <v>13</v>
      </c>
      <c r="B14" s="4" t="s">
        <v>14</v>
      </c>
      <c r="C14" s="4" t="s">
        <v>15</v>
      </c>
      <c r="D14" s="4" t="s">
        <v>16</v>
      </c>
      <c r="E14" s="4" t="s">
        <v>17</v>
      </c>
      <c r="F14" s="4"/>
      <c r="G14" s="4" t="s">
        <v>18</v>
      </c>
      <c r="H14" s="4" t="s">
        <v>19</v>
      </c>
      <c r="I14" s="4" t="s">
        <v>20</v>
      </c>
      <c r="J14" s="4"/>
      <c r="K14" s="4"/>
      <c r="L14" s="4"/>
      <c r="M14" s="5"/>
    </row>
    <row r="15" spans="1:18" x14ac:dyDescent="0.25">
      <c r="B15" s="7">
        <v>100</v>
      </c>
      <c r="C15" s="6">
        <f>$B15*8</f>
        <v>800</v>
      </c>
      <c r="D15" s="6">
        <f>$B15*16</f>
        <v>1600</v>
      </c>
      <c r="E15" s="6">
        <f>$B15*24</f>
        <v>2400</v>
      </c>
      <c r="G15" s="6">
        <f>$B15*40</f>
        <v>4000</v>
      </c>
      <c r="H15" s="6">
        <f>$B15*80</f>
        <v>8000</v>
      </c>
      <c r="I15" s="6">
        <f>$B15*120</f>
        <v>12000</v>
      </c>
      <c r="K15" s="6"/>
    </row>
    <row r="16" spans="1:18" x14ac:dyDescent="0.25">
      <c r="B16" s="7">
        <v>120</v>
      </c>
      <c r="C16" s="6">
        <f t="shared" ref="C16:C18" si="9">$B16*8</f>
        <v>960</v>
      </c>
      <c r="D16" s="6">
        <f t="shared" ref="D16:D18" si="10">$B16*16</f>
        <v>1920</v>
      </c>
      <c r="E16" s="6">
        <f t="shared" ref="E16:E18" si="11">$B16*24</f>
        <v>2880</v>
      </c>
      <c r="G16" s="6">
        <f t="shared" ref="G16:G18" si="12">$B16*40</f>
        <v>4800</v>
      </c>
      <c r="H16" s="6">
        <f t="shared" ref="H16:H18" si="13">$B16*80</f>
        <v>9600</v>
      </c>
      <c r="I16" s="6">
        <f t="shared" ref="I16:I18" si="14">$B16*120</f>
        <v>14400</v>
      </c>
    </row>
    <row r="17" spans="1:21" x14ac:dyDescent="0.25">
      <c r="B17" s="7">
        <v>150</v>
      </c>
      <c r="C17" s="6">
        <f t="shared" si="9"/>
        <v>1200</v>
      </c>
      <c r="D17" s="6">
        <f t="shared" si="10"/>
        <v>2400</v>
      </c>
      <c r="E17" s="6">
        <f t="shared" si="11"/>
        <v>3600</v>
      </c>
      <c r="G17" s="6">
        <f t="shared" si="12"/>
        <v>6000</v>
      </c>
      <c r="H17" s="6">
        <f t="shared" si="13"/>
        <v>12000</v>
      </c>
      <c r="I17" s="6">
        <f t="shared" si="14"/>
        <v>18000</v>
      </c>
    </row>
    <row r="18" spans="1:21" x14ac:dyDescent="0.25">
      <c r="B18" s="7">
        <v>200</v>
      </c>
      <c r="C18" s="6">
        <f t="shared" si="9"/>
        <v>1600</v>
      </c>
      <c r="D18" s="6">
        <f t="shared" si="10"/>
        <v>3200</v>
      </c>
      <c r="E18" s="6">
        <f t="shared" si="11"/>
        <v>4800</v>
      </c>
      <c r="G18" s="6">
        <f t="shared" si="12"/>
        <v>8000</v>
      </c>
      <c r="H18" s="6">
        <f t="shared" si="13"/>
        <v>16000</v>
      </c>
      <c r="I18" s="6">
        <f t="shared" si="14"/>
        <v>24000</v>
      </c>
    </row>
    <row r="21" spans="1:21" ht="47.25" x14ac:dyDescent="0.25">
      <c r="A21" s="4" t="s">
        <v>21</v>
      </c>
      <c r="B21" s="10" t="s">
        <v>22</v>
      </c>
      <c r="C21" s="11" t="s">
        <v>23</v>
      </c>
      <c r="D21" s="11" t="s">
        <v>24</v>
      </c>
      <c r="E21" s="11" t="s">
        <v>25</v>
      </c>
      <c r="F21" s="12" t="s">
        <v>26</v>
      </c>
      <c r="G21" s="5"/>
      <c r="H21" s="5"/>
      <c r="I21" s="5"/>
      <c r="J21" s="5"/>
      <c r="K21" s="5"/>
      <c r="L21" s="5"/>
    </row>
    <row r="22" spans="1:21" x14ac:dyDescent="0.25">
      <c r="B22" s="13">
        <v>1</v>
      </c>
      <c r="C22" s="14">
        <f>E22*52</f>
        <v>2080</v>
      </c>
      <c r="D22" s="15">
        <f>C22/12</f>
        <v>173.33333333333334</v>
      </c>
      <c r="E22" s="14">
        <f>40</f>
        <v>40</v>
      </c>
      <c r="F22" s="16">
        <f>D22/8</f>
        <v>21.666666666666668</v>
      </c>
    </row>
    <row r="23" spans="1:21" x14ac:dyDescent="0.25">
      <c r="B23" s="13">
        <v>0.75</v>
      </c>
      <c r="C23" s="14">
        <f t="shared" ref="C23:C31" si="15">E23*52</f>
        <v>1560</v>
      </c>
      <c r="D23" s="15">
        <f t="shared" ref="D23:D31" si="16">C23/12</f>
        <v>130</v>
      </c>
      <c r="E23" s="14">
        <f>B23*$E$22</f>
        <v>30</v>
      </c>
      <c r="F23" s="16">
        <f t="shared" ref="F23:F31" si="17">D23/8</f>
        <v>16.25</v>
      </c>
      <c r="Q23" s="17"/>
    </row>
    <row r="24" spans="1:21" x14ac:dyDescent="0.25">
      <c r="B24" s="13">
        <v>0.5</v>
      </c>
      <c r="C24" s="14">
        <f t="shared" si="15"/>
        <v>1040</v>
      </c>
      <c r="D24" s="15">
        <f t="shared" si="16"/>
        <v>86.666666666666671</v>
      </c>
      <c r="E24" s="14">
        <f t="shared" ref="E24:E31" si="18">B24*$E$22</f>
        <v>20</v>
      </c>
      <c r="F24" s="16">
        <f t="shared" si="17"/>
        <v>10.833333333333334</v>
      </c>
      <c r="H24"/>
      <c r="I24"/>
      <c r="J24"/>
      <c r="K24"/>
      <c r="L24"/>
      <c r="M24"/>
      <c r="N24"/>
      <c r="O24"/>
      <c r="Q24" s="6"/>
    </row>
    <row r="25" spans="1:21" x14ac:dyDescent="0.25">
      <c r="B25" s="13">
        <v>0.35</v>
      </c>
      <c r="C25" s="14">
        <f t="shared" si="15"/>
        <v>728</v>
      </c>
      <c r="D25" s="15">
        <f t="shared" si="16"/>
        <v>60.666666666666664</v>
      </c>
      <c r="E25" s="14">
        <f t="shared" si="18"/>
        <v>14</v>
      </c>
      <c r="F25" s="16">
        <f t="shared" si="17"/>
        <v>7.583333333333333</v>
      </c>
      <c r="H25"/>
      <c r="I25"/>
      <c r="J25" s="18"/>
      <c r="K25" s="19"/>
      <c r="L25" s="19"/>
      <c r="M25" s="19"/>
      <c r="N25" s="19"/>
      <c r="O25" s="19"/>
      <c r="P25" s="20"/>
      <c r="Q25" s="21"/>
      <c r="R25" s="20"/>
      <c r="S25" s="22"/>
      <c r="T25" s="22"/>
      <c r="U25" s="22"/>
    </row>
    <row r="26" spans="1:21" x14ac:dyDescent="0.25">
      <c r="B26" s="13">
        <v>0.2</v>
      </c>
      <c r="C26" s="14">
        <f t="shared" si="15"/>
        <v>416</v>
      </c>
      <c r="D26" s="15">
        <f t="shared" si="16"/>
        <v>34.666666666666664</v>
      </c>
      <c r="E26" s="14">
        <f t="shared" si="18"/>
        <v>8</v>
      </c>
      <c r="F26" s="16">
        <f t="shared" si="17"/>
        <v>4.333333333333333</v>
      </c>
      <c r="H26"/>
      <c r="I26"/>
      <c r="J26" s="19"/>
      <c r="K26" s="20"/>
      <c r="L26" s="19"/>
      <c r="M26" s="19"/>
      <c r="N26" s="23"/>
      <c r="O26" s="19"/>
      <c r="P26" s="20"/>
      <c r="Q26" s="24"/>
      <c r="R26" s="20"/>
      <c r="S26" s="22"/>
      <c r="T26" s="22"/>
      <c r="U26" s="22"/>
    </row>
    <row r="27" spans="1:21" x14ac:dyDescent="0.25">
      <c r="B27" s="13">
        <v>0.15</v>
      </c>
      <c r="C27" s="14">
        <f t="shared" si="15"/>
        <v>312</v>
      </c>
      <c r="D27" s="15">
        <f t="shared" si="16"/>
        <v>26</v>
      </c>
      <c r="E27" s="14">
        <f t="shared" si="18"/>
        <v>6</v>
      </c>
      <c r="F27" s="16">
        <f t="shared" si="17"/>
        <v>3.25</v>
      </c>
      <c r="H27"/>
      <c r="I27" s="25"/>
      <c r="J27" s="20"/>
      <c r="K27" s="26"/>
      <c r="L27" s="27"/>
      <c r="M27" s="26"/>
      <c r="N27" s="28"/>
      <c r="O27" s="26"/>
      <c r="P27" s="29"/>
      <c r="Q27" s="24"/>
      <c r="R27" s="30"/>
      <c r="S27" s="22"/>
      <c r="T27" s="22"/>
      <c r="U27" s="22"/>
    </row>
    <row r="28" spans="1:21" x14ac:dyDescent="0.25">
      <c r="B28" s="13">
        <v>0.1</v>
      </c>
      <c r="C28" s="14">
        <f t="shared" si="15"/>
        <v>208</v>
      </c>
      <c r="D28" s="15">
        <f t="shared" si="16"/>
        <v>17.333333333333332</v>
      </c>
      <c r="E28" s="14">
        <f t="shared" si="18"/>
        <v>4</v>
      </c>
      <c r="F28" s="16">
        <f t="shared" si="17"/>
        <v>2.1666666666666665</v>
      </c>
      <c r="H28"/>
      <c r="I28" s="31"/>
      <c r="J28" s="20"/>
      <c r="K28" s="27"/>
      <c r="L28" s="27"/>
      <c r="M28" s="26"/>
      <c r="N28" s="28"/>
      <c r="O28" s="28"/>
      <c r="P28" s="32"/>
      <c r="Q28" s="32"/>
      <c r="R28" s="20"/>
      <c r="S28" s="22"/>
      <c r="T28" s="22"/>
      <c r="U28" s="22"/>
    </row>
    <row r="29" spans="1:21" x14ac:dyDescent="0.25">
      <c r="B29" s="13">
        <v>0.05</v>
      </c>
      <c r="C29" s="14">
        <f t="shared" si="15"/>
        <v>104</v>
      </c>
      <c r="D29" s="15">
        <f t="shared" si="16"/>
        <v>8.6666666666666661</v>
      </c>
      <c r="E29" s="14">
        <f t="shared" si="18"/>
        <v>2</v>
      </c>
      <c r="F29" s="33">
        <f t="shared" si="17"/>
        <v>1.0833333333333333</v>
      </c>
      <c r="H29"/>
      <c r="I29" s="31"/>
      <c r="J29" s="20"/>
      <c r="K29" s="27"/>
      <c r="L29" s="27"/>
      <c r="M29" s="26"/>
      <c r="N29" s="28"/>
      <c r="O29" s="28"/>
      <c r="P29" s="24"/>
      <c r="Q29" s="32"/>
      <c r="R29" s="20"/>
      <c r="S29" s="22"/>
      <c r="T29" s="22"/>
      <c r="U29" s="22"/>
    </row>
    <row r="30" spans="1:21" x14ac:dyDescent="0.25">
      <c r="B30" s="13">
        <v>0.02</v>
      </c>
      <c r="C30" s="15">
        <f t="shared" si="15"/>
        <v>41.6</v>
      </c>
      <c r="D30" s="15">
        <f t="shared" si="16"/>
        <v>3.4666666666666668</v>
      </c>
      <c r="E30" s="14">
        <f t="shared" si="18"/>
        <v>0.8</v>
      </c>
      <c r="F30" s="33">
        <f t="shared" si="17"/>
        <v>0.43333333333333335</v>
      </c>
      <c r="H30"/>
      <c r="I30" s="31"/>
      <c r="J30" s="20"/>
      <c r="K30" s="27"/>
      <c r="L30" s="27"/>
      <c r="M30" s="26"/>
      <c r="N30" s="28"/>
      <c r="O30" s="28"/>
      <c r="P30" s="24"/>
      <c r="Q30" s="32"/>
      <c r="R30" s="20"/>
      <c r="S30" s="22"/>
      <c r="T30" s="22"/>
      <c r="U30" s="22"/>
    </row>
    <row r="31" spans="1:21" x14ac:dyDescent="0.25">
      <c r="B31" s="34">
        <v>0.01</v>
      </c>
      <c r="C31" s="35">
        <f t="shared" si="15"/>
        <v>20.8</v>
      </c>
      <c r="D31" s="35">
        <f t="shared" si="16"/>
        <v>1.7333333333333334</v>
      </c>
      <c r="E31" s="36">
        <f t="shared" si="18"/>
        <v>0.4</v>
      </c>
      <c r="F31" s="37">
        <f t="shared" si="17"/>
        <v>0.21666666666666667</v>
      </c>
      <c r="H31"/>
      <c r="I31" s="31"/>
      <c r="J31" s="38"/>
      <c r="K31" s="27"/>
      <c r="L31" s="27"/>
      <c r="M31" s="26"/>
      <c r="N31" s="28"/>
      <c r="O31" s="28"/>
      <c r="P31" s="24"/>
      <c r="Q31" s="32"/>
      <c r="R31" s="20"/>
      <c r="S31" s="22"/>
      <c r="T31" s="22"/>
      <c r="U31" s="22"/>
    </row>
    <row r="32" spans="1:21" x14ac:dyDescent="0.25">
      <c r="H32"/>
      <c r="I32" s="31"/>
      <c r="J32" s="38"/>
      <c r="K32" s="27"/>
      <c r="L32" s="27"/>
      <c r="M32" s="26"/>
      <c r="N32" s="28"/>
      <c r="O32" s="28"/>
      <c r="P32" s="24"/>
      <c r="Q32" s="32"/>
      <c r="R32" s="30"/>
      <c r="S32" s="22"/>
      <c r="T32" s="22"/>
      <c r="U32" s="22"/>
    </row>
    <row r="33" spans="2:21" x14ac:dyDescent="0.25">
      <c r="B33" s="391" t="s">
        <v>27</v>
      </c>
      <c r="C33" s="392"/>
      <c r="D33" s="393"/>
      <c r="E33" s="39" t="s">
        <v>28</v>
      </c>
      <c r="H33"/>
      <c r="I33" s="31"/>
      <c r="J33" s="40"/>
      <c r="K33" s="27"/>
      <c r="L33" s="27"/>
      <c r="M33" s="26"/>
      <c r="N33" s="28"/>
      <c r="O33" s="28"/>
      <c r="P33" s="24"/>
      <c r="Q33" s="32"/>
      <c r="R33" s="20"/>
      <c r="S33" s="22"/>
      <c r="T33" s="22"/>
      <c r="U33" s="22"/>
    </row>
    <row r="34" spans="2:21" x14ac:dyDescent="0.25">
      <c r="B34" s="41" t="s">
        <v>29</v>
      </c>
      <c r="C34" s="41" t="s">
        <v>30</v>
      </c>
      <c r="D34" s="41" t="s">
        <v>31</v>
      </c>
      <c r="E34" s="41" t="s">
        <v>32</v>
      </c>
      <c r="H34"/>
      <c r="I34" s="31"/>
      <c r="J34" s="19"/>
      <c r="K34" s="42"/>
      <c r="L34" s="27"/>
      <c r="M34" s="26"/>
      <c r="N34" s="28"/>
      <c r="O34" s="28"/>
      <c r="P34" s="24"/>
      <c r="Q34" s="32"/>
      <c r="R34" s="20"/>
      <c r="S34" s="22"/>
      <c r="T34" s="22"/>
      <c r="U34" s="22"/>
    </row>
    <row r="35" spans="2:21" x14ac:dyDescent="0.25">
      <c r="B35" s="43">
        <v>8</v>
      </c>
      <c r="C35" s="44"/>
      <c r="D35" s="44"/>
      <c r="E35" s="45">
        <f>B35/C22</f>
        <v>3.8461538461538464E-3</v>
      </c>
      <c r="I35" s="22"/>
      <c r="J35" s="20"/>
      <c r="K35" s="27"/>
      <c r="L35" s="27"/>
      <c r="M35" s="26"/>
      <c r="N35" s="28"/>
      <c r="O35" s="28"/>
      <c r="P35" s="24"/>
      <c r="Q35" s="24"/>
      <c r="R35" s="20"/>
      <c r="S35" s="22"/>
      <c r="T35" s="22"/>
      <c r="U35" s="22"/>
    </row>
    <row r="36" spans="2:21" x14ac:dyDescent="0.25">
      <c r="B36" s="44"/>
      <c r="C36" s="43">
        <v>16</v>
      </c>
      <c r="D36" s="44"/>
      <c r="E36" s="45">
        <f>C36/D22</f>
        <v>9.2307692307692299E-2</v>
      </c>
      <c r="I36" s="22"/>
      <c r="J36" s="20"/>
      <c r="K36" s="26"/>
      <c r="L36" s="42"/>
      <c r="M36" s="46"/>
      <c r="N36" s="47"/>
      <c r="O36" s="48"/>
      <c r="P36" s="24"/>
      <c r="Q36" s="32"/>
      <c r="R36" s="20"/>
      <c r="S36" s="22"/>
      <c r="T36" s="22"/>
      <c r="U36" s="22"/>
    </row>
    <row r="37" spans="2:21" x14ac:dyDescent="0.25">
      <c r="B37" s="44"/>
      <c r="C37" s="44"/>
      <c r="D37" s="43">
        <v>8</v>
      </c>
      <c r="E37" s="45">
        <f>D37/E22</f>
        <v>0.2</v>
      </c>
      <c r="I37" s="49"/>
      <c r="J37" s="20"/>
      <c r="K37" s="24"/>
      <c r="L37" s="42"/>
      <c r="M37" s="26"/>
      <c r="N37" s="28"/>
      <c r="O37" s="50"/>
      <c r="P37" s="24"/>
      <c r="Q37" s="24"/>
      <c r="R37" s="20"/>
      <c r="S37" s="22"/>
      <c r="T37" s="22"/>
      <c r="U37" s="22"/>
    </row>
    <row r="38" spans="2:21" x14ac:dyDescent="0.25">
      <c r="I38" s="51"/>
      <c r="J38" s="20"/>
      <c r="K38" s="24"/>
      <c r="L38" s="52"/>
      <c r="M38" s="26"/>
      <c r="N38" s="26"/>
      <c r="O38" s="48"/>
      <c r="P38" s="24"/>
      <c r="Q38" s="24"/>
      <c r="R38" s="20"/>
      <c r="S38" s="22"/>
      <c r="T38" s="22"/>
      <c r="U38" s="22"/>
    </row>
    <row r="39" spans="2:21" x14ac:dyDescent="0.25">
      <c r="I39" s="49"/>
      <c r="J39" s="53"/>
      <c r="K39" s="24"/>
      <c r="L39" s="24"/>
      <c r="M39" s="24"/>
      <c r="N39" s="54"/>
      <c r="O39" s="32"/>
      <c r="P39" s="24"/>
      <c r="Q39" s="32"/>
      <c r="R39" s="30"/>
      <c r="S39" s="22"/>
      <c r="T39" s="22"/>
      <c r="U39" s="22"/>
    </row>
    <row r="40" spans="2:21" x14ac:dyDescent="0.25">
      <c r="G40" s="55"/>
      <c r="I40" s="22"/>
      <c r="J40" s="53"/>
      <c r="K40" s="24"/>
      <c r="L40" s="56"/>
      <c r="M40" s="24"/>
      <c r="N40" s="32"/>
      <c r="O40" s="24"/>
      <c r="P40" s="24"/>
      <c r="Q40" s="24"/>
      <c r="R40" s="20"/>
      <c r="S40" s="22"/>
      <c r="T40" s="22"/>
      <c r="U40" s="22"/>
    </row>
    <row r="41" spans="2:21" x14ac:dyDescent="0.25">
      <c r="E41" s="57"/>
      <c r="I41" s="22"/>
      <c r="J41" s="53"/>
      <c r="K41" s="24"/>
      <c r="L41" s="24"/>
      <c r="M41" s="24"/>
      <c r="N41" s="24"/>
      <c r="O41" s="24"/>
      <c r="P41" s="24"/>
      <c r="Q41" s="24"/>
      <c r="R41" s="20"/>
      <c r="S41" s="22"/>
      <c r="T41" s="22"/>
      <c r="U41" s="22"/>
    </row>
    <row r="42" spans="2:21" x14ac:dyDescent="0.25">
      <c r="E42" s="57"/>
      <c r="I42" s="22"/>
      <c r="J42" s="53"/>
      <c r="K42" s="20"/>
      <c r="L42" s="20"/>
      <c r="M42" s="20"/>
      <c r="N42" s="20"/>
      <c r="O42" s="30"/>
      <c r="P42" s="20"/>
      <c r="Q42" s="20"/>
      <c r="R42" s="20"/>
      <c r="S42" s="22"/>
      <c r="T42" s="22"/>
      <c r="U42" s="22"/>
    </row>
    <row r="43" spans="2:21" x14ac:dyDescent="0.25">
      <c r="B43" s="58"/>
      <c r="C43" s="58"/>
      <c r="D43" s="58"/>
      <c r="E43" s="57"/>
      <c r="F43" s="58"/>
      <c r="I43" s="22"/>
      <c r="J43" s="53"/>
      <c r="K43" s="20"/>
      <c r="L43" s="53"/>
      <c r="M43" s="59"/>
      <c r="N43" s="20"/>
      <c r="O43" s="30"/>
      <c r="P43" s="60"/>
      <c r="Q43" s="20"/>
      <c r="R43" s="20"/>
      <c r="S43" s="22"/>
      <c r="T43" s="22"/>
      <c r="U43" s="22"/>
    </row>
    <row r="44" spans="2:21" x14ac:dyDescent="0.25">
      <c r="B44" s="58"/>
      <c r="C44" s="58"/>
      <c r="D44" s="58"/>
      <c r="E44" s="57"/>
      <c r="F44" s="58"/>
      <c r="I44" s="22"/>
      <c r="J44" s="53"/>
      <c r="K44" s="20"/>
      <c r="L44" s="53"/>
      <c r="M44" s="59"/>
      <c r="N44" s="20"/>
      <c r="O44" s="30"/>
      <c r="P44" s="20"/>
      <c r="Q44" s="20"/>
      <c r="R44" s="30"/>
      <c r="S44" s="22"/>
      <c r="T44" s="22"/>
      <c r="U44" s="22"/>
    </row>
    <row r="45" spans="2:21" x14ac:dyDescent="0.25">
      <c r="B45" s="58"/>
      <c r="C45" s="58"/>
      <c r="D45" s="58"/>
      <c r="E45" s="57"/>
      <c r="F45" s="58"/>
      <c r="I45" s="61"/>
      <c r="J45" s="62"/>
      <c r="K45" s="20"/>
      <c r="L45" s="53"/>
      <c r="M45" s="20"/>
      <c r="N45" s="21"/>
      <c r="O45" s="20"/>
      <c r="P45" s="60"/>
      <c r="Q45" s="20"/>
      <c r="R45" s="20"/>
      <c r="S45" s="22"/>
      <c r="T45" s="22"/>
      <c r="U45" s="22"/>
    </row>
    <row r="46" spans="2:21" x14ac:dyDescent="0.25">
      <c r="B46" s="58"/>
      <c r="C46" s="58"/>
      <c r="D46" s="58"/>
      <c r="E46" s="63"/>
      <c r="F46" s="58"/>
      <c r="I46" s="22"/>
      <c r="J46" s="20"/>
      <c r="K46" s="20"/>
      <c r="L46" s="53"/>
      <c r="M46" s="20"/>
      <c r="N46" s="20"/>
      <c r="O46" s="30"/>
      <c r="P46" s="20"/>
      <c r="Q46" s="20"/>
      <c r="R46" s="20"/>
      <c r="S46" s="22"/>
      <c r="T46" s="22"/>
      <c r="U46" s="22"/>
    </row>
    <row r="47" spans="2:21" x14ac:dyDescent="0.25">
      <c r="B47" s="58"/>
      <c r="C47" s="58"/>
      <c r="D47" s="58"/>
      <c r="E47" s="63"/>
      <c r="F47" s="58"/>
      <c r="I47" s="22"/>
      <c r="J47" s="20"/>
      <c r="K47" s="64"/>
      <c r="L47" s="53"/>
      <c r="M47" s="20"/>
      <c r="N47" s="53"/>
      <c r="O47" s="20"/>
      <c r="P47" s="20"/>
      <c r="Q47" s="20"/>
      <c r="R47" s="20"/>
      <c r="S47" s="22"/>
      <c r="T47" s="65"/>
      <c r="U47" s="22"/>
    </row>
    <row r="48" spans="2:21" x14ac:dyDescent="0.25">
      <c r="B48" s="58"/>
      <c r="C48" s="58"/>
      <c r="D48" s="58"/>
      <c r="E48" s="63"/>
      <c r="F48" s="58"/>
      <c r="I48" s="22"/>
      <c r="J48" s="22"/>
      <c r="K48" s="22"/>
      <c r="L48" s="66"/>
      <c r="M48" s="20"/>
      <c r="N48" s="21"/>
      <c r="O48" s="20"/>
      <c r="P48" s="67"/>
      <c r="Q48" s="22"/>
      <c r="R48" s="22"/>
      <c r="S48" s="22"/>
      <c r="T48" s="22"/>
      <c r="U48" s="22"/>
    </row>
    <row r="49" spans="2:21" x14ac:dyDescent="0.25">
      <c r="B49" s="58"/>
      <c r="C49" s="58"/>
      <c r="D49" s="58"/>
      <c r="E49" s="63"/>
      <c r="F49" s="58"/>
      <c r="J49" s="68"/>
      <c r="K49" s="22"/>
      <c r="L49" s="62"/>
      <c r="M49" s="20"/>
      <c r="N49" s="20"/>
      <c r="O49" s="20"/>
      <c r="P49" s="22"/>
      <c r="Q49" s="22"/>
      <c r="R49" s="22"/>
      <c r="S49" s="22"/>
      <c r="T49" s="22"/>
      <c r="U49" s="22"/>
    </row>
    <row r="50" spans="2:21" x14ac:dyDescent="0.25">
      <c r="B50" s="58"/>
      <c r="C50" s="58"/>
      <c r="D50" s="58"/>
      <c r="E50" s="63"/>
      <c r="F50" s="58"/>
      <c r="I50" s="69"/>
      <c r="J50" s="22"/>
      <c r="K50" s="22"/>
      <c r="L50" s="22"/>
      <c r="M50" s="22"/>
      <c r="N50" s="22"/>
      <c r="O50" s="22"/>
      <c r="P50" s="22"/>
      <c r="Q50" s="22"/>
      <c r="R50" s="22"/>
      <c r="S50" s="22"/>
      <c r="T50" s="22"/>
      <c r="U50" s="22"/>
    </row>
    <row r="51" spans="2:21" x14ac:dyDescent="0.25">
      <c r="B51" s="58"/>
      <c r="C51" s="58"/>
      <c r="D51" s="58"/>
      <c r="E51" s="58"/>
      <c r="F51" s="58"/>
      <c r="J51" s="22"/>
      <c r="K51" s="22"/>
      <c r="L51" s="22"/>
      <c r="M51" s="22"/>
      <c r="N51" s="67"/>
      <c r="O51" s="22"/>
      <c r="P51" s="22"/>
      <c r="Q51" s="22"/>
      <c r="R51" s="22"/>
      <c r="S51" s="22"/>
      <c r="T51" s="22"/>
      <c r="U51" s="22"/>
    </row>
    <row r="52" spans="2:21" x14ac:dyDescent="0.25">
      <c r="B52" s="58"/>
      <c r="C52" s="58"/>
      <c r="D52" s="58"/>
      <c r="E52" s="58"/>
      <c r="F52" s="58"/>
      <c r="J52" s="22"/>
      <c r="K52" s="22"/>
      <c r="L52" s="22"/>
      <c r="M52" s="22"/>
      <c r="N52" s="22"/>
      <c r="O52" s="22"/>
      <c r="P52" s="22"/>
      <c r="Q52" s="22"/>
      <c r="R52" s="22"/>
      <c r="S52" s="22"/>
      <c r="T52" s="22"/>
      <c r="U52" s="22"/>
    </row>
    <row r="53" spans="2:21" x14ac:dyDescent="0.25">
      <c r="B53" s="58"/>
      <c r="C53" s="70"/>
      <c r="D53" s="58"/>
      <c r="E53" s="63"/>
      <c r="F53" s="58"/>
      <c r="J53" s="22"/>
      <c r="K53" s="22"/>
      <c r="L53" s="22"/>
      <c r="M53" s="22"/>
      <c r="N53" s="22"/>
      <c r="O53" s="22"/>
      <c r="P53" s="22"/>
      <c r="Q53" s="22"/>
      <c r="R53" s="22"/>
      <c r="S53" s="22"/>
      <c r="T53" s="22"/>
      <c r="U53" s="22"/>
    </row>
    <row r="54" spans="2:21" x14ac:dyDescent="0.25">
      <c r="B54" s="58"/>
      <c r="C54" s="58"/>
      <c r="D54" s="58"/>
      <c r="E54" s="58"/>
      <c r="F54" s="58"/>
      <c r="J54" s="49"/>
      <c r="K54" s="65"/>
      <c r="L54" s="22"/>
      <c r="M54" s="22"/>
      <c r="N54" s="22"/>
      <c r="O54" s="22"/>
      <c r="P54" s="22"/>
      <c r="Q54" s="22"/>
      <c r="R54" s="22"/>
      <c r="S54" s="22"/>
      <c r="T54" s="22"/>
      <c r="U54" s="22"/>
    </row>
    <row r="55" spans="2:21" x14ac:dyDescent="0.25">
      <c r="B55" s="58"/>
      <c r="C55" s="58"/>
      <c r="D55" s="58"/>
      <c r="E55" s="58"/>
      <c r="F55" s="58"/>
      <c r="H55" s="69"/>
      <c r="J55" s="22"/>
      <c r="K55" s="22"/>
      <c r="L55" s="22"/>
      <c r="M55" s="22"/>
      <c r="N55" s="68"/>
      <c r="O55" s="22"/>
      <c r="P55" s="22"/>
      <c r="Q55" s="22"/>
      <c r="R55" s="22"/>
      <c r="S55" s="22"/>
      <c r="T55" s="22"/>
      <c r="U55" s="22"/>
    </row>
    <row r="56" spans="2:21" x14ac:dyDescent="0.25">
      <c r="B56" s="58"/>
      <c r="C56" s="58"/>
      <c r="D56" s="58"/>
      <c r="E56" s="58"/>
      <c r="F56" s="58"/>
      <c r="J56" s="22"/>
      <c r="K56" s="22"/>
      <c r="L56" s="22"/>
      <c r="M56" s="22"/>
      <c r="N56" s="49"/>
      <c r="O56" s="22"/>
      <c r="P56" s="22"/>
      <c r="Q56" s="22"/>
      <c r="R56" s="22"/>
      <c r="S56" s="22"/>
      <c r="T56" s="22"/>
      <c r="U56" s="22"/>
    </row>
    <row r="57" spans="2:21" x14ac:dyDescent="0.25">
      <c r="J57" s="22"/>
      <c r="K57" s="22"/>
      <c r="L57" s="71"/>
      <c r="M57" s="22"/>
      <c r="N57" s="22"/>
      <c r="O57" s="22"/>
      <c r="P57" s="22"/>
      <c r="Q57" s="22"/>
      <c r="R57" s="22"/>
      <c r="S57" s="22"/>
      <c r="T57" s="22"/>
      <c r="U57" s="22"/>
    </row>
    <row r="58" spans="2:21" x14ac:dyDescent="0.25">
      <c r="L58" s="22"/>
      <c r="M58" s="22"/>
      <c r="N58" s="22"/>
      <c r="O58" s="22"/>
    </row>
    <row r="59" spans="2:21" x14ac:dyDescent="0.25">
      <c r="L59" s="22"/>
      <c r="M59" s="22"/>
      <c r="N59" s="22"/>
      <c r="O59" s="22"/>
    </row>
    <row r="63" spans="2:21" x14ac:dyDescent="0.25">
      <c r="K63" s="55"/>
    </row>
  </sheetData>
  <mergeCells count="1">
    <mergeCell ref="B33:D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Category (2020)</vt:lpstr>
      <vt:lpstr>Category Detail (2020)</vt:lpstr>
      <vt:lpstr>Category (2020-2024)</vt:lpstr>
      <vt:lpstr>NPCC Contribution</vt:lpstr>
      <vt:lpstr>Funding Shares</vt:lpstr>
      <vt:lpstr>Typical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Light</dc:creator>
  <cp:lastModifiedBy>Jennifer Light</cp:lastModifiedBy>
  <dcterms:created xsi:type="dcterms:W3CDTF">2019-06-06T15:04:15Z</dcterms:created>
  <dcterms:modified xsi:type="dcterms:W3CDTF">2019-10-23T18:03:51Z</dcterms:modified>
</cp:coreProperties>
</file>