
<file path=[Content_Types].xml><?xml version="1.0" encoding="utf-8"?>
<Types xmlns="http://schemas.openxmlformats.org/package/2006/content-type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Default Extension="vml" ContentType="application/vnd.openxmlformats-officedocument.vmlDrawing"/>
  <Override PartName="/xl/comments1.xml" ContentType="application/vnd.openxmlformats-officedocument.spreadsheetml.comments+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autoCompressPictures="0" defaultThemeVersion="124226"/>
  <bookViews>
    <workbookView xWindow="27870" yWindow="-15" windowWidth="28440" windowHeight="12495" tabRatio="818" activeTab="2"/>
  </bookViews>
  <sheets>
    <sheet name="Table of Contents" sheetId="9" r:id="rId1"/>
    <sheet name="Category (2016)" sheetId="14" r:id="rId2"/>
    <sheet name="Category Detail (2016)" sheetId="13" r:id="rId3"/>
    <sheet name="Category (2015-2019)" sheetId="16" r:id="rId4"/>
    <sheet name="NPCC In Kind" sheetId="6" r:id="rId5"/>
    <sheet name="Funding Shares" sheetId="15" r:id="rId6"/>
    <sheet name="Typical Rates" sheetId="5" r:id="rId7"/>
  </sheets>
  <externalReferences>
    <externalReference r:id="rId8"/>
  </externalReferences>
  <definedNames>
    <definedName name="_xlnm.Print_Area" localSheetId="4">'NPCC In Kind'!$AG$4:$AM$24</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G6" i="15"/>
  <c r="F6"/>
  <c r="E6"/>
  <c r="D6"/>
  <c r="C6"/>
  <c r="AI16" i="16"/>
  <c r="AG16"/>
  <c r="AF16"/>
  <c r="AB16"/>
  <c r="Z16"/>
  <c r="Y16"/>
  <c r="U16"/>
  <c r="S16"/>
  <c r="R16"/>
  <c r="N16"/>
  <c r="K16"/>
  <c r="B28" i="13"/>
  <c r="B10" l="1"/>
  <c r="E31"/>
  <c r="E48"/>
  <c r="F49" i="5"/>
  <c r="F11" i="13"/>
  <c r="B11"/>
  <c r="C11"/>
  <c r="D11"/>
  <c r="D68"/>
  <c r="D69"/>
  <c r="D70"/>
  <c r="D71"/>
  <c r="D67"/>
  <c r="E11" l="1"/>
  <c r="E47"/>
  <c r="E49"/>
  <c r="E46"/>
  <c r="F23"/>
  <c r="D23"/>
  <c r="C23"/>
  <c r="B23"/>
  <c r="E62"/>
  <c r="C63"/>
  <c r="D63"/>
  <c r="F63"/>
  <c r="C42"/>
  <c r="B50"/>
  <c r="C50"/>
  <c r="D50"/>
  <c r="F50"/>
  <c r="E23" l="1"/>
  <c r="B84"/>
  <c r="E50"/>
  <c r="F15"/>
  <c r="D15"/>
  <c r="C15"/>
  <c r="B15"/>
  <c r="F26" i="6"/>
  <c r="E26"/>
  <c r="G23"/>
  <c r="F22"/>
  <c r="E22"/>
  <c r="G21"/>
  <c r="G20"/>
  <c r="G19"/>
  <c r="G18"/>
  <c r="G17"/>
  <c r="G16"/>
  <c r="G15"/>
  <c r="G14"/>
  <c r="G13"/>
  <c r="G12"/>
  <c r="G11"/>
  <c r="G10"/>
  <c r="G9"/>
  <c r="G8"/>
  <c r="G7"/>
  <c r="C19" i="16"/>
  <c r="AL6"/>
  <c r="E15" i="13" l="1"/>
  <c r="G26" i="6"/>
  <c r="G22"/>
  <c r="F4" s="1"/>
  <c r="P123" i="14"/>
  <c r="Z6"/>
  <c r="X6"/>
  <c r="F12" i="13"/>
  <c r="D12"/>
  <c r="B12"/>
  <c r="K5" i="16" l="1"/>
  <c r="B60" i="13" l="1"/>
  <c r="B63" s="1"/>
  <c r="F73"/>
  <c r="E83" l="1"/>
  <c r="M23" i="6"/>
  <c r="M14"/>
  <c r="M11"/>
  <c r="M12"/>
  <c r="E72" i="13"/>
  <c r="K73" l="1"/>
  <c r="F29"/>
  <c r="F30"/>
  <c r="C29"/>
  <c r="C30"/>
  <c r="B29"/>
  <c r="B30"/>
  <c r="E30" l="1"/>
  <c r="E29"/>
  <c r="C7" i="15" l="1"/>
  <c r="B42" i="13" l="1"/>
  <c r="B14"/>
  <c r="B20"/>
  <c r="B21"/>
  <c r="B22"/>
  <c r="B32"/>
  <c r="B37"/>
  <c r="B56"/>
  <c r="E60"/>
  <c r="B73"/>
  <c r="E69"/>
  <c r="E70"/>
  <c r="E71"/>
  <c r="E68"/>
  <c r="G14" i="14"/>
  <c r="N14" i="16" s="1"/>
  <c r="C73" i="13"/>
  <c r="F10"/>
  <c r="C10"/>
  <c r="D10"/>
  <c r="C12"/>
  <c r="E12" s="1"/>
  <c r="C14"/>
  <c r="D14"/>
  <c r="C20"/>
  <c r="D20"/>
  <c r="C21"/>
  <c r="D21"/>
  <c r="C22"/>
  <c r="D22"/>
  <c r="C28"/>
  <c r="C32" s="1"/>
  <c r="D28"/>
  <c r="D32" s="1"/>
  <c r="E35"/>
  <c r="E36"/>
  <c r="E41"/>
  <c r="E54"/>
  <c r="E55"/>
  <c r="E61"/>
  <c r="F14"/>
  <c r="F20"/>
  <c r="F21"/>
  <c r="F22"/>
  <c r="F28"/>
  <c r="F32" s="1"/>
  <c r="F37"/>
  <c r="F42"/>
  <c r="F56"/>
  <c r="C37"/>
  <c r="C56"/>
  <c r="K26" i="6"/>
  <c r="K22"/>
  <c r="F26" i="5"/>
  <c r="E26" s="1"/>
  <c r="D26" s="1"/>
  <c r="C26" s="1"/>
  <c r="L26" i="6"/>
  <c r="L22"/>
  <c r="M21"/>
  <c r="M20"/>
  <c r="M19"/>
  <c r="M18"/>
  <c r="M17"/>
  <c r="M16"/>
  <c r="M15"/>
  <c r="M13"/>
  <c r="M10"/>
  <c r="M9"/>
  <c r="M8"/>
  <c r="M7"/>
  <c r="D56" i="13"/>
  <c r="D42"/>
  <c r="D37"/>
  <c r="L2" i="16"/>
  <c r="B2"/>
  <c r="S3"/>
  <c r="AG3"/>
  <c r="Z3"/>
  <c r="B48" i="15"/>
  <c r="C46"/>
  <c r="D46"/>
  <c r="C45"/>
  <c r="D45"/>
  <c r="C44"/>
  <c r="D44"/>
  <c r="C43"/>
  <c r="D43"/>
  <c r="C42"/>
  <c r="D42"/>
  <c r="C41"/>
  <c r="D41"/>
  <c r="C40"/>
  <c r="C39"/>
  <c r="D39"/>
  <c r="C38"/>
  <c r="D38"/>
  <c r="C37"/>
  <c r="D37"/>
  <c r="C36"/>
  <c r="D36"/>
  <c r="C35"/>
  <c r="D35"/>
  <c r="C34"/>
  <c r="D34"/>
  <c r="D48"/>
  <c r="C48"/>
  <c r="B29"/>
  <c r="G30" s="1"/>
  <c r="G13" s="1"/>
  <c r="B25"/>
  <c r="B26"/>
  <c r="B28"/>
  <c r="B20"/>
  <c r="D7" s="1"/>
  <c r="F19"/>
  <c r="D18"/>
  <c r="D17"/>
  <c r="E30"/>
  <c r="E13" s="1"/>
  <c r="C16"/>
  <c r="D15"/>
  <c r="D19"/>
  <c r="E10"/>
  <c r="C17"/>
  <c r="C8"/>
  <c r="G14"/>
  <c r="D11"/>
  <c r="F12"/>
  <c r="F18"/>
  <c r="D8"/>
  <c r="D10"/>
  <c r="F11"/>
  <c r="F15"/>
  <c r="D16"/>
  <c r="F17"/>
  <c r="Z12" i="14"/>
  <c r="Y12"/>
  <c r="X12"/>
  <c r="Z9"/>
  <c r="Y9"/>
  <c r="X9"/>
  <c r="X15" s="1"/>
  <c r="AN6" s="1"/>
  <c r="Y6"/>
  <c r="T15"/>
  <c r="R15"/>
  <c r="P125" s="1"/>
  <c r="Q15"/>
  <c r="S15"/>
  <c r="B2"/>
  <c r="R25" i="6"/>
  <c r="R26" s="1"/>
  <c r="Q25"/>
  <c r="Q26" s="1"/>
  <c r="S19"/>
  <c r="R21"/>
  <c r="R22" s="1"/>
  <c r="Q21"/>
  <c r="Q22" s="1"/>
  <c r="S20"/>
  <c r="S18"/>
  <c r="S17"/>
  <c r="S16"/>
  <c r="S15"/>
  <c r="S14"/>
  <c r="S13"/>
  <c r="S12"/>
  <c r="S11"/>
  <c r="S10"/>
  <c r="S9"/>
  <c r="S8"/>
  <c r="S7"/>
  <c r="Y20"/>
  <c r="X25"/>
  <c r="X26" s="1"/>
  <c r="W25"/>
  <c r="W26" s="1"/>
  <c r="AD4"/>
  <c r="X21"/>
  <c r="X22" s="1"/>
  <c r="W21"/>
  <c r="A2" i="13"/>
  <c r="A16"/>
  <c r="A24"/>
  <c r="A32"/>
  <c r="A37"/>
  <c r="A42"/>
  <c r="A50"/>
  <c r="A56"/>
  <c r="A63"/>
  <c r="A73"/>
  <c r="B2" i="5"/>
  <c r="B2" i="6"/>
  <c r="F36" i="5"/>
  <c r="F41"/>
  <c r="D41"/>
  <c r="E41"/>
  <c r="G41"/>
  <c r="F45"/>
  <c r="D45"/>
  <c r="E45"/>
  <c r="G45"/>
  <c r="F51"/>
  <c r="D36"/>
  <c r="F37"/>
  <c r="D37"/>
  <c r="E37"/>
  <c r="G37"/>
  <c r="F42"/>
  <c r="D42"/>
  <c r="E42"/>
  <c r="G42"/>
  <c r="F38"/>
  <c r="D38"/>
  <c r="E38"/>
  <c r="G38"/>
  <c r="F43"/>
  <c r="D43"/>
  <c r="E43"/>
  <c r="G43"/>
  <c r="F39"/>
  <c r="D39"/>
  <c r="E39"/>
  <c r="G39"/>
  <c r="F44"/>
  <c r="D44"/>
  <c r="E44"/>
  <c r="G44"/>
  <c r="F40"/>
  <c r="D40"/>
  <c r="E40"/>
  <c r="G40"/>
  <c r="E36"/>
  <c r="AJ20" i="6"/>
  <c r="AJ21" s="1"/>
  <c r="AI20"/>
  <c r="AI21" s="1"/>
  <c r="W22"/>
  <c r="AT19"/>
  <c r="AR19"/>
  <c r="AQ19"/>
  <c r="AK19"/>
  <c r="Y19"/>
  <c r="AK18"/>
  <c r="Y18"/>
  <c r="AS17"/>
  <c r="AK17"/>
  <c r="Y17"/>
  <c r="AS16"/>
  <c r="AK16"/>
  <c r="Y16"/>
  <c r="AS15"/>
  <c r="AK15"/>
  <c r="Y15"/>
  <c r="AS14"/>
  <c r="AK14"/>
  <c r="Y14"/>
  <c r="AS13"/>
  <c r="AK13"/>
  <c r="Y13"/>
  <c r="AS12"/>
  <c r="AK12"/>
  <c r="Y12"/>
  <c r="AS11"/>
  <c r="AK11"/>
  <c r="Y11"/>
  <c r="AS10"/>
  <c r="AK10"/>
  <c r="Y10"/>
  <c r="AS9"/>
  <c r="AK9"/>
  <c r="Y9"/>
  <c r="AS8"/>
  <c r="AK8"/>
  <c r="Y8"/>
  <c r="AS7"/>
  <c r="AK7"/>
  <c r="Y7"/>
  <c r="H30" i="5"/>
  <c r="I30"/>
  <c r="J30"/>
  <c r="H31"/>
  <c r="I31"/>
  <c r="J31"/>
  <c r="H32"/>
  <c r="I32"/>
  <c r="J32"/>
  <c r="J29"/>
  <c r="I29"/>
  <c r="H29"/>
  <c r="F30"/>
  <c r="F31"/>
  <c r="F32"/>
  <c r="F29"/>
  <c r="E30"/>
  <c r="E31"/>
  <c r="E32"/>
  <c r="E29"/>
  <c r="D30"/>
  <c r="D31"/>
  <c r="D32"/>
  <c r="D29"/>
  <c r="F19"/>
  <c r="E19"/>
  <c r="D19"/>
  <c r="C19"/>
  <c r="F21"/>
  <c r="I21"/>
  <c r="J21"/>
  <c r="F22"/>
  <c r="L22" s="1"/>
  <c r="F23"/>
  <c r="L23"/>
  <c r="F24"/>
  <c r="I24"/>
  <c r="J24"/>
  <c r="F25"/>
  <c r="L25"/>
  <c r="F20"/>
  <c r="E20"/>
  <c r="D20"/>
  <c r="C20"/>
  <c r="G36"/>
  <c r="F50"/>
  <c r="E25"/>
  <c r="D25"/>
  <c r="C25"/>
  <c r="E21"/>
  <c r="D21"/>
  <c r="C21"/>
  <c r="I23"/>
  <c r="J23"/>
  <c r="I19"/>
  <c r="J19"/>
  <c r="E24"/>
  <c r="D24"/>
  <c r="C24"/>
  <c r="L24"/>
  <c r="L19"/>
  <c r="L21"/>
  <c r="M21"/>
  <c r="M25"/>
  <c r="N25"/>
  <c r="I25"/>
  <c r="J25"/>
  <c r="I20"/>
  <c r="J20"/>
  <c r="L20"/>
  <c r="M23"/>
  <c r="N23"/>
  <c r="E23"/>
  <c r="D23"/>
  <c r="C23"/>
  <c r="M19"/>
  <c r="N19"/>
  <c r="N24"/>
  <c r="M24"/>
  <c r="N21"/>
  <c r="N20"/>
  <c r="M20"/>
  <c r="F24" i="13" l="1"/>
  <c r="M22" i="5"/>
  <c r="N22"/>
  <c r="E22"/>
  <c r="D22" s="1"/>
  <c r="C22" s="1"/>
  <c r="I22"/>
  <c r="J22" s="1"/>
  <c r="B16" i="13"/>
  <c r="C24"/>
  <c r="E63"/>
  <c r="D16"/>
  <c r="B24"/>
  <c r="F16"/>
  <c r="D24"/>
  <c r="C16"/>
  <c r="M22" i="6"/>
  <c r="U13" i="14"/>
  <c r="U6"/>
  <c r="U9"/>
  <c r="Z15"/>
  <c r="U12"/>
  <c r="U8"/>
  <c r="U14"/>
  <c r="U10"/>
  <c r="U11"/>
  <c r="U7"/>
  <c r="AN9"/>
  <c r="Y15"/>
  <c r="AN7" s="1"/>
  <c r="D12" i="15"/>
  <c r="F7"/>
  <c r="F8"/>
  <c r="E14"/>
  <c r="F16"/>
  <c r="F30"/>
  <c r="F13" s="1"/>
  <c r="G7"/>
  <c r="D9"/>
  <c r="E17"/>
  <c r="E7"/>
  <c r="E56" i="13"/>
  <c r="E12" i="14"/>
  <c r="L12" i="16" s="1"/>
  <c r="S12" s="1"/>
  <c r="Z12" s="1"/>
  <c r="AG12" s="1"/>
  <c r="D12" i="14"/>
  <c r="K12" i="16" s="1"/>
  <c r="R12" s="1"/>
  <c r="Y12" s="1"/>
  <c r="AF12" s="1"/>
  <c r="G13" i="14"/>
  <c r="N13" i="16" s="1"/>
  <c r="G9" i="14"/>
  <c r="N9" i="16" s="1"/>
  <c r="C8" i="14"/>
  <c r="J8" i="16" s="1"/>
  <c r="E11" i="14"/>
  <c r="L11" i="16" s="1"/>
  <c r="D13" i="14"/>
  <c r="K13" i="16" s="1"/>
  <c r="D9" i="14"/>
  <c r="K9" i="16" s="1"/>
  <c r="R9" s="1"/>
  <c r="Y9" s="1"/>
  <c r="AF9" s="1"/>
  <c r="G10" i="14"/>
  <c r="N10" i="16" s="1"/>
  <c r="U10" s="1"/>
  <c r="AB10" s="1"/>
  <c r="AI10" s="1"/>
  <c r="D14" i="14"/>
  <c r="K14" i="16" s="1"/>
  <c r="R14" s="1"/>
  <c r="Y14" s="1"/>
  <c r="AF14" s="1"/>
  <c r="C9" i="14"/>
  <c r="J9" i="16" s="1"/>
  <c r="Q9" s="1"/>
  <c r="X9" s="1"/>
  <c r="AE9" s="1"/>
  <c r="C10" i="14"/>
  <c r="J10" i="16" s="1"/>
  <c r="Q10" s="1"/>
  <c r="E10" i="14"/>
  <c r="L10" i="16" s="1"/>
  <c r="S10" s="1"/>
  <c r="D10" i="14"/>
  <c r="K10" i="16" s="1"/>
  <c r="G11" i="14"/>
  <c r="N11" i="16" s="1"/>
  <c r="U11" s="1"/>
  <c r="AB11" s="1"/>
  <c r="AI11" s="1"/>
  <c r="C11" i="14"/>
  <c r="J11" i="16" s="1"/>
  <c r="Q11" s="1"/>
  <c r="X11" s="1"/>
  <c r="AE11" s="1"/>
  <c r="E9" i="14"/>
  <c r="L9" i="16" s="1"/>
  <c r="E13" i="14"/>
  <c r="L13" i="16" s="1"/>
  <c r="S13" s="1"/>
  <c r="Z13" s="1"/>
  <c r="AG13" s="1"/>
  <c r="D11" i="14"/>
  <c r="K11" i="16" s="1"/>
  <c r="R11" s="1"/>
  <c r="G12" i="14"/>
  <c r="N12" i="16" s="1"/>
  <c r="U12" s="1"/>
  <c r="G8" i="14"/>
  <c r="N8" i="16" s="1"/>
  <c r="U8" s="1"/>
  <c r="E8" i="14"/>
  <c r="L8" i="16" s="1"/>
  <c r="S8" s="1"/>
  <c r="Z8" s="1"/>
  <c r="AG8" s="1"/>
  <c r="C12" i="14"/>
  <c r="J12" i="16" s="1"/>
  <c r="C14" i="14"/>
  <c r="J14" i="16" s="1"/>
  <c r="Q14" s="1"/>
  <c r="X14" s="1"/>
  <c r="AE14" s="1"/>
  <c r="AG2"/>
  <c r="U14"/>
  <c r="Z2"/>
  <c r="S2"/>
  <c r="AA9" i="14"/>
  <c r="AA6"/>
  <c r="AA12"/>
  <c r="Y21" i="6"/>
  <c r="X4" s="1"/>
  <c r="AK20"/>
  <c r="AL4" s="1"/>
  <c r="S21"/>
  <c r="R4" s="1"/>
  <c r="AS19"/>
  <c r="AT4" s="1"/>
  <c r="Y25"/>
  <c r="Y26" s="1"/>
  <c r="S25"/>
  <c r="S26" s="1"/>
  <c r="AQ20"/>
  <c r="L4"/>
  <c r="M26"/>
  <c r="E42" i="13"/>
  <c r="E28"/>
  <c r="E32" s="1"/>
  <c r="E10"/>
  <c r="E21"/>
  <c r="E13"/>
  <c r="E22"/>
  <c r="D73"/>
  <c r="E37"/>
  <c r="E67"/>
  <c r="E73" s="1"/>
  <c r="E20"/>
  <c r="E14"/>
  <c r="C18" i="15"/>
  <c r="G8"/>
  <c r="G17"/>
  <c r="C15"/>
  <c r="C11"/>
  <c r="E8"/>
  <c r="G16"/>
  <c r="C10"/>
  <c r="E15"/>
  <c r="E18"/>
  <c r="G18"/>
  <c r="E19"/>
  <c r="C12"/>
  <c r="C19"/>
  <c r="G15"/>
  <c r="G11"/>
  <c r="C9"/>
  <c r="G10"/>
  <c r="C30"/>
  <c r="E9"/>
  <c r="H6"/>
  <c r="D14"/>
  <c r="F9"/>
  <c r="F14"/>
  <c r="C14"/>
  <c r="G19"/>
  <c r="E16"/>
  <c r="E12"/>
  <c r="G9"/>
  <c r="F10"/>
  <c r="G12"/>
  <c r="D30"/>
  <c r="D13" s="1"/>
  <c r="E11"/>
  <c r="B82" i="13" l="1"/>
  <c r="B83" s="1"/>
  <c r="E24"/>
  <c r="E16"/>
  <c r="AU19" i="6"/>
  <c r="AM20"/>
  <c r="AK21"/>
  <c r="S22"/>
  <c r="AD9" i="14"/>
  <c r="AC9"/>
  <c r="AC12"/>
  <c r="AB9"/>
  <c r="U15"/>
  <c r="H7" i="15"/>
  <c r="H17"/>
  <c r="AI9" i="14"/>
  <c r="H8" i="15"/>
  <c r="F12" i="14"/>
  <c r="M12" i="16" s="1"/>
  <c r="T12" s="1"/>
  <c r="AA12" s="1"/>
  <c r="AH12" s="1"/>
  <c r="AH12" i="14"/>
  <c r="AH9"/>
  <c r="F13"/>
  <c r="M13" i="16" s="1"/>
  <c r="T13" s="1"/>
  <c r="AA13" s="1"/>
  <c r="AH13" s="1"/>
  <c r="AG9" i="14"/>
  <c r="D7"/>
  <c r="K7" i="16" s="1"/>
  <c r="R7" s="1"/>
  <c r="Y7" s="1"/>
  <c r="AF7" s="1"/>
  <c r="F80" i="13"/>
  <c r="E14" i="14"/>
  <c r="L14" i="16" s="1"/>
  <c r="S14" s="1"/>
  <c r="Z14" s="1"/>
  <c r="AG14" s="1"/>
  <c r="D8" i="14"/>
  <c r="K8" i="16" s="1"/>
  <c r="R8" s="1"/>
  <c r="Y8" s="1"/>
  <c r="AF8" s="1"/>
  <c r="E7" i="14"/>
  <c r="L7" i="16" s="1"/>
  <c r="S7" s="1"/>
  <c r="Z7" s="1"/>
  <c r="AG7" s="1"/>
  <c r="F10" i="14"/>
  <c r="M10" i="16" s="1"/>
  <c r="C13" i="14"/>
  <c r="J13" i="16" s="1"/>
  <c r="Q13" s="1"/>
  <c r="X13" s="1"/>
  <c r="AE13" s="1"/>
  <c r="F11" i="14"/>
  <c r="M11" i="16" s="1"/>
  <c r="T11" s="1"/>
  <c r="AA11" s="1"/>
  <c r="AH11" s="1"/>
  <c r="AL7"/>
  <c r="D6" i="14"/>
  <c r="K6" i="16" s="1"/>
  <c r="E6" i="14"/>
  <c r="G6"/>
  <c r="N6" i="16" s="1"/>
  <c r="U6" s="1"/>
  <c r="AB6" s="1"/>
  <c r="AI6" s="1"/>
  <c r="C6" i="14"/>
  <c r="J6" i="16" s="1"/>
  <c r="D20" i="15"/>
  <c r="F7" i="13" s="1"/>
  <c r="E82" s="1"/>
  <c r="E81" s="1"/>
  <c r="G7" i="14"/>
  <c r="N7" i="16" s="1"/>
  <c r="AB8"/>
  <c r="AI8" s="1"/>
  <c r="X10"/>
  <c r="AE10" s="1"/>
  <c r="AB12"/>
  <c r="AI12" s="1"/>
  <c r="AB14"/>
  <c r="AI14" s="1"/>
  <c r="Y11"/>
  <c r="AF11" s="1"/>
  <c r="Z10"/>
  <c r="AG10" s="1"/>
  <c r="Q8"/>
  <c r="X8" s="1"/>
  <c r="AE8" s="1"/>
  <c r="U13"/>
  <c r="AB13" s="1"/>
  <c r="AI13" s="1"/>
  <c r="Q12"/>
  <c r="X12" s="1"/>
  <c r="AE12" s="1"/>
  <c r="R10"/>
  <c r="Y10" s="1"/>
  <c r="AF10" s="1"/>
  <c r="S9"/>
  <c r="Z9" s="1"/>
  <c r="AG9" s="1"/>
  <c r="S11"/>
  <c r="Z11" s="1"/>
  <c r="AG11" s="1"/>
  <c r="U9"/>
  <c r="AB9" s="1"/>
  <c r="AI9" s="1"/>
  <c r="R13"/>
  <c r="Y13" s="1"/>
  <c r="AF13" s="1"/>
  <c r="AA15" i="14"/>
  <c r="Y22" i="6"/>
  <c r="AR20"/>
  <c r="AQ21" s="1"/>
  <c r="AR21"/>
  <c r="C7" i="14"/>
  <c r="J7" i="16" s="1"/>
  <c r="Q7" s="1"/>
  <c r="X7" s="1"/>
  <c r="AE7" s="1"/>
  <c r="B76" i="13"/>
  <c r="F9" i="14"/>
  <c r="M9" i="16" s="1"/>
  <c r="T9" s="1"/>
  <c r="AA9" s="1"/>
  <c r="AH9" s="1"/>
  <c r="AM7" s="1"/>
  <c r="D76" i="13"/>
  <c r="F14" i="14"/>
  <c r="M14" i="16" s="1"/>
  <c r="T14" s="1"/>
  <c r="AA14" s="1"/>
  <c r="AH14" s="1"/>
  <c r="F76" i="13"/>
  <c r="B86" s="1"/>
  <c r="G16" i="16" s="1"/>
  <c r="C32" s="1"/>
  <c r="H16" i="15"/>
  <c r="H14"/>
  <c r="H19"/>
  <c r="G20"/>
  <c r="C76" i="13"/>
  <c r="C13" i="15"/>
  <c r="H30"/>
  <c r="F20"/>
  <c r="H10"/>
  <c r="H15"/>
  <c r="E20"/>
  <c r="H9"/>
  <c r="H12"/>
  <c r="H11"/>
  <c r="H18"/>
  <c r="Q6" i="16" l="1"/>
  <c r="X6" s="1"/>
  <c r="AD6" i="14"/>
  <c r="L6" i="16"/>
  <c r="F81" i="13"/>
  <c r="K15" i="14"/>
  <c r="AB6"/>
  <c r="AG6"/>
  <c r="AC6"/>
  <c r="AE12"/>
  <c r="AE9"/>
  <c r="AG12"/>
  <c r="AB12"/>
  <c r="AI12"/>
  <c r="AD12"/>
  <c r="AD15" s="1"/>
  <c r="AO8" s="1"/>
  <c r="N15"/>
  <c r="C45" i="16"/>
  <c r="C44"/>
  <c r="E76" i="13"/>
  <c r="G42" s="1"/>
  <c r="AL9" i="16"/>
  <c r="AJ12" i="14"/>
  <c r="K15" i="16"/>
  <c r="D20" s="1"/>
  <c r="D28" s="1"/>
  <c r="AH6" i="14"/>
  <c r="AH15" s="1"/>
  <c r="AP7" s="1"/>
  <c r="F6"/>
  <c r="M6" i="16" s="1"/>
  <c r="T6" s="1"/>
  <c r="AA6" s="1"/>
  <c r="AH6" s="1"/>
  <c r="AL8"/>
  <c r="T10"/>
  <c r="AA10" s="1"/>
  <c r="AH10" s="1"/>
  <c r="AM8" s="1"/>
  <c r="F7" i="14"/>
  <c r="M7" i="16" s="1"/>
  <c r="F8" i="14"/>
  <c r="M8" i="16" s="1"/>
  <c r="T8" s="1"/>
  <c r="AA8" s="1"/>
  <c r="AH8" s="1"/>
  <c r="D15"/>
  <c r="D19" s="1"/>
  <c r="C28" s="1"/>
  <c r="C37"/>
  <c r="D15" i="14"/>
  <c r="AJ9"/>
  <c r="E15"/>
  <c r="R6" i="16"/>
  <c r="Y6" s="1"/>
  <c r="AF6" s="1"/>
  <c r="J15"/>
  <c r="C20" s="1"/>
  <c r="D27" s="1"/>
  <c r="C15"/>
  <c r="C27" s="1"/>
  <c r="AI6" i="14"/>
  <c r="E15" i="16"/>
  <c r="E19" s="1"/>
  <c r="C29" s="1"/>
  <c r="G15" i="14"/>
  <c r="C38" i="16"/>
  <c r="G15"/>
  <c r="G19" s="1"/>
  <c r="C31" s="1"/>
  <c r="AM9"/>
  <c r="D45"/>
  <c r="D38"/>
  <c r="C15" i="14"/>
  <c r="R123" s="1"/>
  <c r="B85" i="13"/>
  <c r="D16" i="16" s="1"/>
  <c r="F79" i="13"/>
  <c r="F83"/>
  <c r="H13" i="15"/>
  <c r="H20" s="1"/>
  <c r="C20"/>
  <c r="Q15" i="16" l="1"/>
  <c r="C21" s="1"/>
  <c r="E27" s="1"/>
  <c r="AE6"/>
  <c r="X15"/>
  <c r="C22" s="1"/>
  <c r="F27" s="1"/>
  <c r="E7" i="13"/>
  <c r="AG15" i="14"/>
  <c r="AP6" s="1"/>
  <c r="R125"/>
  <c r="L15"/>
  <c r="Q125" s="1"/>
  <c r="AE6"/>
  <c r="M15"/>
  <c r="O7" s="1"/>
  <c r="AB15"/>
  <c r="AO6" s="1"/>
  <c r="AC15"/>
  <c r="AO7" s="1"/>
  <c r="AI15"/>
  <c r="J15"/>
  <c r="Q123" s="1"/>
  <c r="D44" i="16"/>
  <c r="F15"/>
  <c r="F19" s="1"/>
  <c r="C30" s="1"/>
  <c r="C43"/>
  <c r="C46" s="1"/>
  <c r="AJ6" i="14"/>
  <c r="AJ15" s="1"/>
  <c r="AK12" s="1"/>
  <c r="F15"/>
  <c r="H12" s="1"/>
  <c r="D43" i="16"/>
  <c r="C36"/>
  <c r="C39" s="1"/>
  <c r="AL10"/>
  <c r="D37"/>
  <c r="R15"/>
  <c r="D21" s="1"/>
  <c r="E28" s="1"/>
  <c r="S6"/>
  <c r="L15"/>
  <c r="E20" s="1"/>
  <c r="D29" s="1"/>
  <c r="N15"/>
  <c r="U7"/>
  <c r="E38"/>
  <c r="AE15"/>
  <c r="C23" s="1"/>
  <c r="G27" s="1"/>
  <c r="E37"/>
  <c r="E44"/>
  <c r="F38"/>
  <c r="AN8"/>
  <c r="Y15"/>
  <c r="E45"/>
  <c r="G73" i="13"/>
  <c r="B81"/>
  <c r="B79"/>
  <c r="G37"/>
  <c r="G50"/>
  <c r="G16"/>
  <c r="G32"/>
  <c r="G63"/>
  <c r="G56"/>
  <c r="G24"/>
  <c r="B80"/>
  <c r="F82" l="1"/>
  <c r="G7"/>
  <c r="O6" i="14"/>
  <c r="D46" i="16"/>
  <c r="AP9" i="14"/>
  <c r="AP8"/>
  <c r="O13"/>
  <c r="O9"/>
  <c r="O11"/>
  <c r="O14"/>
  <c r="O12"/>
  <c r="O10"/>
  <c r="AO9"/>
  <c r="AE15"/>
  <c r="O8"/>
  <c r="AK6"/>
  <c r="H10"/>
  <c r="H6"/>
  <c r="H7"/>
  <c r="H11"/>
  <c r="AK9"/>
  <c r="T7" i="16"/>
  <c r="M15"/>
  <c r="D36"/>
  <c r="D39" s="1"/>
  <c r="H9" i="14"/>
  <c r="H13"/>
  <c r="H8"/>
  <c r="H14"/>
  <c r="Z6" i="16"/>
  <c r="S15"/>
  <c r="D32"/>
  <c r="G20"/>
  <c r="D31" s="1"/>
  <c r="AB7"/>
  <c r="U15"/>
  <c r="F45"/>
  <c r="AN9"/>
  <c r="G38"/>
  <c r="D22"/>
  <c r="F28" s="1"/>
  <c r="AF15"/>
  <c r="F44"/>
  <c r="F37"/>
  <c r="G76" i="13"/>
  <c r="O15" i="14" l="1"/>
  <c r="AF9"/>
  <c r="AF12"/>
  <c r="AF6"/>
  <c r="AK15"/>
  <c r="H15"/>
  <c r="AA7" i="16"/>
  <c r="F43" s="1"/>
  <c r="F46" s="1"/>
  <c r="E36"/>
  <c r="E39" s="1"/>
  <c r="T15"/>
  <c r="D49"/>
  <c r="F20"/>
  <c r="D30" s="1"/>
  <c r="D50"/>
  <c r="E43"/>
  <c r="E46" s="1"/>
  <c r="AG6"/>
  <c r="AG15" s="1"/>
  <c r="Z15"/>
  <c r="E21"/>
  <c r="E29" s="1"/>
  <c r="G21"/>
  <c r="E31" s="1"/>
  <c r="E32"/>
  <c r="AI7"/>
  <c r="AB15"/>
  <c r="G45"/>
  <c r="AN7"/>
  <c r="G37"/>
  <c r="G44"/>
  <c r="D23"/>
  <c r="G28" s="1"/>
  <c r="AF15" i="14" l="1"/>
  <c r="F21" i="16"/>
  <c r="E30" s="1"/>
  <c r="E49"/>
  <c r="E50"/>
  <c r="AH7"/>
  <c r="AA15"/>
  <c r="F36"/>
  <c r="F39" s="1"/>
  <c r="E23"/>
  <c r="G29" s="1"/>
  <c r="E22"/>
  <c r="F29" s="1"/>
  <c r="G22"/>
  <c r="F31" s="1"/>
  <c r="F32"/>
  <c r="AI15"/>
  <c r="G43" l="1"/>
  <c r="G46" s="1"/>
  <c r="AM6"/>
  <c r="G36"/>
  <c r="G39" s="1"/>
  <c r="AH15"/>
  <c r="F49"/>
  <c r="F22"/>
  <c r="F30" s="1"/>
  <c r="F50"/>
  <c r="G32"/>
  <c r="G23"/>
  <c r="G31" s="1"/>
  <c r="G49" l="1"/>
  <c r="G50"/>
  <c r="F23"/>
  <c r="G30" s="1"/>
  <c r="AM10"/>
  <c r="AN6"/>
  <c r="AN10" s="1"/>
</calcChain>
</file>

<file path=xl/comments1.xml><?xml version="1.0" encoding="utf-8"?>
<comments xmlns="http://schemas.openxmlformats.org/spreadsheetml/2006/main">
  <authors>
    <author>Nick O'Neil</author>
    <author>Charlie Grist</author>
    <author>Jennifer Anziano</author>
  </authors>
  <commentList>
    <comment ref="E2" author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K2" author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Q2" authorId="1">
      <text>
        <r>
          <rPr>
            <b/>
            <sz val="9"/>
            <color indexed="81"/>
            <rFont val="Tahoma"/>
            <family val="2"/>
          </rPr>
          <t>Charlie Grist:</t>
        </r>
        <r>
          <rPr>
            <sz val="9"/>
            <color indexed="81"/>
            <rFont val="Tahoma"/>
            <family val="2"/>
          </rPr>
          <t xml:space="preserve">
Updated estimate from Terry Morlan September 2011</t>
        </r>
      </text>
    </comment>
    <comment ref="AL6" authorId="1">
      <text>
        <r>
          <rPr>
            <b/>
            <sz val="9"/>
            <color indexed="81"/>
            <rFont val="Tahoma"/>
            <family val="2"/>
          </rPr>
          <t>Charlie Grist:</t>
        </r>
        <r>
          <rPr>
            <sz val="9"/>
            <color indexed="81"/>
            <rFont val="Tahoma"/>
            <family val="2"/>
          </rPr>
          <t xml:space="preserve">
Use average staff rate times overhead multiplier of 1.4 from Sharon Ossmann</t>
        </r>
      </text>
    </comment>
    <comment ref="AL20" authorId="1">
      <text>
        <r>
          <rPr>
            <b/>
            <sz val="9"/>
            <color indexed="81"/>
            <rFont val="Tahoma"/>
            <family val="2"/>
          </rPr>
          <t>Charlie Grist:</t>
        </r>
        <r>
          <rPr>
            <sz val="9"/>
            <color indexed="81"/>
            <rFont val="Tahoma"/>
            <family val="2"/>
          </rPr>
          <t xml:space="preserve">
Use average staff rate times overhead multiplier of 1.4.</t>
        </r>
      </text>
    </comment>
    <comment ref="G23" authorId="2">
      <text>
        <r>
          <rPr>
            <b/>
            <sz val="9"/>
            <color indexed="81"/>
            <rFont val="Tahoma"/>
            <family val="2"/>
          </rPr>
          <t>Jennifer Anziano:</t>
        </r>
        <r>
          <rPr>
            <sz val="9"/>
            <color indexed="81"/>
            <rFont val="Tahoma"/>
            <family val="2"/>
          </rPr>
          <t xml:space="preserve">
Council staff plus RTF Manager.</t>
        </r>
      </text>
    </comment>
    <comment ref="M23" authorId="2">
      <text>
        <r>
          <rPr>
            <b/>
            <sz val="9"/>
            <color indexed="81"/>
            <rFont val="Tahoma"/>
            <family val="2"/>
          </rPr>
          <t>Jennifer Anziano:</t>
        </r>
        <r>
          <rPr>
            <sz val="9"/>
            <color indexed="81"/>
            <rFont val="Tahoma"/>
            <family val="2"/>
          </rPr>
          <t xml:space="preserve">
Council staff plus RTF Manager.</t>
        </r>
      </text>
    </comment>
    <comment ref="G27" authorId="2">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M27" authorId="2">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List>
</comments>
</file>

<file path=xl/comments2.xml><?xml version="1.0" encoding="utf-8"?>
<comments xmlns="http://schemas.openxmlformats.org/spreadsheetml/2006/main">
  <authors>
    <author>Charlie Grist</author>
  </authors>
  <commentList>
    <comment ref="C4" author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sharedStrings.xml><?xml version="1.0" encoding="utf-8"?>
<sst xmlns="http://schemas.openxmlformats.org/spreadsheetml/2006/main" count="688" uniqueCount="360">
  <si>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</si>
  <si>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</si>
  <si>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</si>
  <si>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</si>
  <si>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</si>
  <si>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</si>
  <si>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</si>
  <si>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</si>
  <si>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</si>
  <si>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</si>
  <si>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</si>
  <si>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</si>
  <si>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</si>
  <si>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</si>
  <si>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</si>
  <si>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</si>
  <si>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</si>
  <si>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</si>
  <si>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Note</t>
  </si>
  <si>
    <t>RTF Member Support &amp; Administration</t>
  </si>
  <si>
    <t>Subtotal New Work</t>
  </si>
  <si>
    <t>1 day/wk</t>
  </si>
  <si>
    <t>2 day/wk</t>
  </si>
  <si>
    <t>1 day/mo</t>
  </si>
  <si>
    <t>2 day/mo</t>
  </si>
  <si>
    <t>3 day/mo</t>
  </si>
  <si>
    <t>RTF Staff cost per unit</t>
  </si>
  <si>
    <t>Council Staff cost per unit</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</si>
  <si>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</si>
  <si>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</si>
  <si>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</si>
  <si>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</si>
  <si>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</si>
  <si>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</si>
  <si>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</si>
  <si>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</si>
  <si>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</si>
  <si>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</si>
  <si>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</si>
  <si>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</si>
  <si>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</si>
  <si>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</si>
  <si>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</si>
  <si>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</si>
  <si>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</si>
  <si>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</si>
  <si>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</si>
  <si>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</si>
  <si>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</si>
  <si>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</si>
  <si>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</si>
  <si>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</si>
  <si>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</si>
  <si>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Month</t>
  </si>
  <si>
    <t>Week</t>
  </si>
  <si>
    <t>Day</t>
  </si>
  <si>
    <t>Hour</t>
  </si>
  <si>
    <t>Annual</t>
  </si>
  <si>
    <t>Rate</t>
  </si>
  <si>
    <t>1 Day</t>
  </si>
  <si>
    <t>2 Day</t>
  </si>
  <si>
    <t>3 Day</t>
  </si>
  <si>
    <t>1 Week</t>
  </si>
  <si>
    <t>2 Week</t>
  </si>
  <si>
    <t>3 Week</t>
  </si>
  <si>
    <t>Contracts</t>
  </si>
  <si>
    <t>Tool Development</t>
  </si>
  <si>
    <t>New Measure Development &amp; Review of Unsolicited Proposals</t>
  </si>
  <si>
    <t>Subtotal Funders</t>
  </si>
  <si>
    <t>Council Staff</t>
  </si>
  <si>
    <t>n units</t>
  </si>
  <si>
    <t>Contract cost per unit</t>
  </si>
  <si>
    <t>Regional Coordination</t>
  </si>
  <si>
    <t>Review New UES developed by a proposer</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</si>
  <si>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</si>
  <si>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</si>
  <si>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</si>
  <si>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</si>
  <si>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Review New Protocol &amp; Calculator developed by a proposer</t>
  </si>
  <si>
    <t>Assume RTF contractor does much of the key development, research, data analysis, and presentation</t>
  </si>
  <si>
    <t>Develop Guideline-compliant standard protocol (no calculator)</t>
  </si>
  <si>
    <t>Large range depending on scope and complexity</t>
  </si>
  <si>
    <t>Estimate based on initial round of review, document and update to Guideline standards</t>
  </si>
  <si>
    <t>Technical Work Rates</t>
  </si>
  <si>
    <t>Cost</t>
  </si>
  <si>
    <t>Once updated to Guideline standards, the cost of review declines</t>
  </si>
  <si>
    <t>Review of source data and analysis required by staff &amp; subcommittee</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</si>
  <si>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</si>
  <si>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</si>
  <si>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</si>
  <si>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</si>
  <si>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</si>
  <si>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</si>
  <si>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</si>
  <si>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</si>
  <si>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</si>
  <si>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</si>
  <si>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</si>
  <si>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</si>
  <si>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</si>
  <si>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</si>
  <si>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</si>
  <si>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Develop New UES with RTF resources</t>
  </si>
  <si>
    <t>Enter Values in these columns for UES/Protocol</t>
  </si>
  <si>
    <t>Cells are linked to worksheet  "Category"</t>
  </si>
  <si>
    <t>Grayed out text for deferred or eliminated work</t>
  </si>
  <si>
    <t>Annual Report</t>
  </si>
  <si>
    <t>Scale Factor</t>
  </si>
  <si>
    <t>Sheet Name</t>
  </si>
  <si>
    <t>Notes</t>
  </si>
  <si>
    <t>Estimate of NPCC In-Kind Costs</t>
  </si>
  <si>
    <t>Table of Contents</t>
  </si>
  <si>
    <t>Typical Rates for RTF Activities</t>
  </si>
  <si>
    <t>NPCC In Kind</t>
  </si>
  <si>
    <t>Typical Rates</t>
  </si>
  <si>
    <t>Breakdown of NPCC staff cost estimates.</t>
  </si>
  <si>
    <t>Organization</t>
  </si>
  <si>
    <t>Share of RTF Budget</t>
  </si>
  <si>
    <t>Proposed Contribution to RTF Budget Rounded</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</si>
  <si>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</si>
  <si>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</si>
  <si>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</si>
  <si>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</si>
  <si>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</si>
  <si>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</si>
  <si>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</si>
  <si>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</si>
  <si>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</si>
  <si>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</si>
  <si>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</si>
  <si>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</si>
  <si>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</si>
  <si>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</si>
  <si>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Estimated Funding Shares</t>
  </si>
  <si>
    <t>Funding Shares</t>
  </si>
  <si>
    <t xml:space="preserve">Manage RTF work flow, develop agenda &amp; procedures &amp; budgets &amp; SOWs </t>
  </si>
  <si>
    <t>Michael Schilmoeller</t>
  </si>
  <si>
    <t>Web Site, Databases</t>
  </si>
  <si>
    <t>Typical cost for common RTF activities</t>
  </si>
  <si>
    <t>Assumes proposer delivers a well-developed proposal that meets Guideline standards</t>
  </si>
  <si>
    <t>Northwestern Energy</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</si>
  <si>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</si>
  <si>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</si>
  <si>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</si>
  <si>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</si>
  <si>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</si>
  <si>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</si>
  <si>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</si>
  <si>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</si>
  <si>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Estimate of NPCC Staff Administration Cost for RTF (2013)</t>
  </si>
  <si>
    <t>Convert old deemed measure to Proven UES</t>
  </si>
  <si>
    <t xml:space="preserve">Periodic Update of Proven UES </t>
  </si>
  <si>
    <t>Provisional to Proven UES</t>
  </si>
  <si>
    <t>End Use Load Data Library Development and Maintenance</t>
  </si>
  <si>
    <t xml:space="preserve">Manage RTF business activities, contracts, financial, bylaws, RTF PAC </t>
  </si>
  <si>
    <t>Develop New Measures for Small &amp; Rural utilities</t>
  </si>
  <si>
    <t>Detail by Category</t>
  </si>
  <si>
    <t>Typically one to two meetings per month for active subcommittees</t>
  </si>
  <si>
    <t>Update  Guidelines</t>
  </si>
  <si>
    <t>Develop a Standard Protocol</t>
  </si>
  <si>
    <t>Develop Standard Protocol and Calculator</t>
  </si>
  <si>
    <t>Produce a Calculator for a Standard Protocol</t>
  </si>
  <si>
    <t>RTF Outreach and Training</t>
  </si>
  <si>
    <t>RTF Meetings, phone, web conference, meeting minutes</t>
  </si>
  <si>
    <t>CY 2015</t>
  </si>
  <si>
    <t xml:space="preserve"> </t>
  </si>
  <si>
    <t>% of total</t>
  </si>
  <si>
    <t>Funding shares by sponsors based on  NEEA formula previously used.  RTF Policy Advisory Committee is considering other funding share options for the future.</t>
  </si>
  <si>
    <t>Sub-section % of total</t>
  </si>
  <si>
    <t>Steve Simmons/Gillian Charles</t>
  </si>
  <si>
    <t>Charlie Black</t>
  </si>
  <si>
    <t>Council Staff (In-Kind)</t>
  </si>
  <si>
    <t>Technical Analysis</t>
  </si>
  <si>
    <t xml:space="preserve">Tool Development, Research, Regional Coordination </t>
  </si>
  <si>
    <t>Administration</t>
  </si>
  <si>
    <t>Contract RFP</t>
  </si>
  <si>
    <t>Nick O'Neil</t>
  </si>
  <si>
    <t>RTF Manager</t>
  </si>
  <si>
    <t>Estimate of NPCC Staff Administration Cost for RTF (2012)</t>
  </si>
  <si>
    <t>RTF Contract Staff</t>
  </si>
  <si>
    <t>Subtotal Funders 
2014</t>
  </si>
  <si>
    <t>CY 2016</t>
  </si>
  <si>
    <t>ProCost: Engine updates and ongoing maintenance</t>
  </si>
  <si>
    <t>Update Standard Protocols currently Out Of Compliance with Guidelines</t>
  </si>
  <si>
    <t>Guidelines training, webinars, presentations related to RTF matters.</t>
  </si>
  <si>
    <t>Website: Development and Management</t>
  </si>
  <si>
    <t>Review New UES Measures (Either Known or Unsolicited)</t>
  </si>
  <si>
    <t>Review New Standard Protocols (Either Known or Unsolicited)</t>
  </si>
  <si>
    <t>With RTF Manager as part of RTF funds</t>
  </si>
  <si>
    <t>Estimate of NPCC Staff Administration Cost for RTF (2014)</t>
  </si>
  <si>
    <t>RTF Annual Report</t>
  </si>
  <si>
    <t>RTF Vice Chair (RTF PAC liaison)</t>
  </si>
  <si>
    <t>Aggar Assefa</t>
  </si>
  <si>
    <t>Equivalent Council Staff FTE:</t>
  </si>
  <si>
    <t>QC Contract amount allocated:</t>
  </si>
  <si>
    <t>WORK PLAN METRICS</t>
  </si>
  <si>
    <t>% Split by Allocation (Contract RFP):</t>
  </si>
  <si>
    <t>Council In-Kind workload split (Technical):</t>
  </si>
  <si>
    <t>Council In-Kind workload split (Admin):</t>
  </si>
  <si>
    <t xml:space="preserve">Assumptions used to estimate approximate costs of contractor, and RTF staff work.  Use as a reference.    </t>
  </si>
  <si>
    <t>*Note: Adjusted from $1.5 to $1.473 for equal comparison</t>
  </si>
  <si>
    <t>Category Level Budget &amp; 3-year look back</t>
  </si>
  <si>
    <t>Category (2015-2019)</t>
  </si>
  <si>
    <t>Cells are linked to worksheet "Category Detail (2015)"</t>
  </si>
  <si>
    <t>Approved 2014</t>
  </si>
  <si>
    <t>Contract RFP
2015</t>
  </si>
  <si>
    <t>Subtotal Funders 
2015</t>
  </si>
  <si>
    <t>Contract RFP 
2014</t>
  </si>
  <si>
    <t>Subtotal Funders 2014</t>
  </si>
  <si>
    <t>Carol Winkel</t>
  </si>
  <si>
    <t>2015-2019 Funding Level</t>
  </si>
  <si>
    <t xml:space="preserve">NEEA Funding Allocation (as of May 2014) </t>
  </si>
  <si>
    <t>Share of RTF Budget (rounded)**</t>
  </si>
  <si>
    <t>PacifiCorp (Washington)</t>
  </si>
  <si>
    <t>PUD No 1 of Clark County</t>
  </si>
  <si>
    <t>Snohomish County PUD</t>
  </si>
  <si>
    <t>Eugene Water and Electric</t>
  </si>
  <si>
    <t>PUD No 1 of Cowlitz County</t>
  </si>
  <si>
    <t>* Northwestern's contribution adjusted to reflect Western MT contribution to RTF only at 52% of NEEA Funding.</t>
  </si>
  <si>
    <t>NorthWestern Funding</t>
  </si>
  <si>
    <t>2010-2014</t>
  </si>
  <si>
    <t>2010-2014 Funding Share</t>
  </si>
  <si>
    <t>2010-2014 expected RTF contribution</t>
  </si>
  <si>
    <t>2010-2014 Actual RTF Contribution</t>
  </si>
  <si>
    <t>Percent difference from expected</t>
  </si>
  <si>
    <t>2015-2019 Funding Share</t>
  </si>
  <si>
    <t>2015-2019 RTF Contribution</t>
  </si>
  <si>
    <t>2012-2014 Funding Level</t>
  </si>
  <si>
    <t>Wage + Inflation Rate:</t>
  </si>
  <si>
    <t>Inflation Rate:</t>
  </si>
  <si>
    <t>Projection Calendar 2017</t>
  </si>
  <si>
    <t>Projection Calendar 2018</t>
  </si>
  <si>
    <t>Projection Calendar 2019</t>
  </si>
  <si>
    <t>Major RTF Functions</t>
  </si>
  <si>
    <t>2019 Cost</t>
  </si>
  <si>
    <t>Net Change</t>
  </si>
  <si>
    <t>Measure Updates and New Development</t>
  </si>
  <si>
    <t>Regional Research Coordination</t>
  </si>
  <si>
    <t>RTF Base Operations</t>
  </si>
  <si>
    <t>CY 2017</t>
  </si>
  <si>
    <t>CY 2018</t>
  </si>
  <si>
    <t>CY 2019</t>
  </si>
  <si>
    <t>Total Funding Increase</t>
  </si>
  <si>
    <t>Annual increase year to year</t>
  </si>
  <si>
    <t>Five year work plan by category.  No detail for out years.  Uses scaling factors for category level totals.</t>
  </si>
  <si>
    <t>PAC APPROVED FUNDING LEVELS MAY, 2014</t>
  </si>
  <si>
    <t>Budget Category Detail Worksheet for 2015</t>
  </si>
  <si>
    <t>Contract Analyst Team</t>
  </si>
  <si>
    <t>RTF Manager cost per unit</t>
  </si>
  <si>
    <t>Contract Analyst Team cost per unit</t>
  </si>
  <si>
    <t>Jennifer Anziano</t>
  </si>
  <si>
    <t>Estimate of NPCC Staff Administration Cost for RTF (2015)</t>
  </si>
  <si>
    <t>ESTIMATOR</t>
  </si>
  <si>
    <t>Tina Jayaweera</t>
  </si>
  <si>
    <t xml:space="preserve">Division Director </t>
  </si>
  <si>
    <t>RTF Chair (RTF PAC liaison)</t>
  </si>
  <si>
    <t>Council InKind</t>
  </si>
  <si>
    <t>Remaining</t>
  </si>
  <si>
    <t>Available</t>
  </si>
  <si>
    <t>Team</t>
  </si>
  <si>
    <t>Travel</t>
  </si>
  <si>
    <t>Updates to measure workbooks</t>
  </si>
  <si>
    <t>% Split by Allocation (Contract Analyst Team):</t>
  </si>
  <si>
    <t>% Split by Allocation (RTF Manager):</t>
  </si>
  <si>
    <t>SEEM: Ongoing Maintenance and Other Updates</t>
  </si>
  <si>
    <t>New Efficiency Hire</t>
  </si>
  <si>
    <t>Trina Gerlack</t>
  </si>
  <si>
    <t>RTF Manager 2015</t>
  </si>
  <si>
    <t>RTF Contract Analyst Team 2015</t>
  </si>
  <si>
    <t>RTF Contract Analyst Team and RTF Manager 2014</t>
  </si>
  <si>
    <t>Contract Analyst Team and RTF Manager</t>
  </si>
  <si>
    <t>Minutes $26K, phone/web conference $7K, Lunches $7K. Council in-kind for member support during meetings.</t>
  </si>
  <si>
    <t>Standard Information Workbook updates</t>
  </si>
  <si>
    <t>Equivalent Contract Analyst FTE:</t>
  </si>
  <si>
    <t>Category Level Budget for 2015-2019</t>
  </si>
  <si>
    <t>Annual increase from 2015 base year</t>
  </si>
  <si>
    <t>PAC materials preparation, RTF relations to Council, contract and task order development, various business activities. Contract for Audit.</t>
  </si>
  <si>
    <t>Calendar 2015</t>
  </si>
  <si>
    <t>Calendar 2016</t>
  </si>
  <si>
    <t>Calendar 2017</t>
  </si>
  <si>
    <t>Calendar 2018</t>
  </si>
  <si>
    <t>Calendar 2019</t>
  </si>
  <si>
    <t>** All funding shares adjusted by 100%/99.03% because Chelan county present in NEEA funding, but not RTF funding.</t>
  </si>
  <si>
    <t>Approved 2015</t>
  </si>
  <si>
    <t>Category (2016)</t>
  </si>
  <si>
    <t>Category-level budget for 2016.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</si>
  <si>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Detailed budget for 2016.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</si>
  <si>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Category Detail (2016)</t>
  </si>
  <si>
    <t>Proposed 2016</t>
  </si>
  <si>
    <t>RTF Contract Team and RTF Manager
2014</t>
  </si>
  <si>
    <t>Contract RFP
2016</t>
  </si>
  <si>
    <t>RTF Contract Analyst Team 2016</t>
  </si>
  <si>
    <t>RTF Manager 2016</t>
  </si>
  <si>
    <t>Subtotal Funders 
2016</t>
  </si>
  <si>
    <t>Contract Analysts</t>
  </si>
  <si>
    <t>Council In-Kind Contribution 2016</t>
  </si>
  <si>
    <t>Contract RFP 
2015</t>
  </si>
  <si>
    <t>Council Staff In Kind Contribution
2015</t>
  </si>
  <si>
    <t>Subtotal Funders
2015</t>
  </si>
  <si>
    <t>Council Staff In Kind Contribution
2014</t>
  </si>
  <si>
    <t>RTF Contract Analyst Team 
2015</t>
  </si>
  <si>
    <t>RTF Contract Analyst Team 
2016</t>
  </si>
  <si>
    <t>Total New Work 2016</t>
  </si>
  <si>
    <t>Update Active UES Measures slated to sunset in 2016</t>
  </si>
  <si>
    <t>Approved Calendar 2015</t>
  </si>
  <si>
    <t>Proposed Calendar 2016</t>
  </si>
  <si>
    <t>Estimate of NPCC Staff Administration Cost for RTF (2016)</t>
  </si>
  <si>
    <t>Conservation Analyst</t>
  </si>
  <si>
    <t>Kevin Smith</t>
  </si>
  <si>
    <t>Update Standard Protocols slated to sunset in 2016</t>
  </si>
  <si>
    <t>VFD-Dairy Milking Machine Vacuum Pump; Compressed Air; Behavior-Based for Residential (assume not completed in 2015), assumes RTF contract analysts do most of the work</t>
  </si>
  <si>
    <t>Advance non-Proven UES Measures</t>
  </si>
  <si>
    <t>SIS and Ind Pump Motor VFD; SIS is more a research check-in (limited analysis); Motor VFD assumes review of data collected</t>
  </si>
  <si>
    <t>Advance non-Proven Standard Protocols</t>
  </si>
  <si>
    <t>Assumes $3500 per review. All new measures addressed will require QC review.</t>
  </si>
  <si>
    <t>Assumes $3500 per review. Not measures addressed will require QC review (no changes to workbooks, etc). Placeholder for 22.</t>
  </si>
  <si>
    <t>QA/QC review of existing measures updates</t>
  </si>
  <si>
    <t>QA/QC review of new measure development</t>
  </si>
  <si>
    <t>Review,  Analytical, and Subcommittee Support</t>
  </si>
  <si>
    <t>Annual Regional Conservation Progress Report</t>
  </si>
  <si>
    <t>Coordination with Power Plan</t>
  </si>
  <si>
    <t>Regional Coordination (Research and Data Development)</t>
  </si>
  <si>
    <t>merged with Category below</t>
  </si>
  <si>
    <t>Coordination and review across measures</t>
  </si>
  <si>
    <t>RTF Members and Corresponding Members meeting and project support</t>
  </si>
  <si>
    <t>Contract Analyst Travel and Meeting Participation</t>
  </si>
  <si>
    <t>Assumes 5% analyst time plus some travel</t>
  </si>
  <si>
    <t>Much of this work relates to regional coordination and research. Merged these two categories going forward.</t>
  </si>
  <si>
    <t>Guidelines review and updates</t>
  </si>
  <si>
    <t>RTF Manager time spent reviewing work products and engaging with subcommittees</t>
  </si>
  <si>
    <t>RTF Manager time spent on improving general RTF processes</t>
  </si>
  <si>
    <t>Assuming change to format (web instead of print) for 2014 report</t>
  </si>
  <si>
    <t>Ongoing management and maintenance with website functions including measure database management. Assumes ~1 hour per month per contract analyst</t>
  </si>
  <si>
    <t>Assumes contracting out most of data analysis, some contract analyst support (~2.5 weeks for one analyst)</t>
  </si>
  <si>
    <t>Assumes about one month of an analyst time (expected to be split across team)</t>
  </si>
  <si>
    <t>Coordination with Momentum Savings Efforts</t>
  </si>
  <si>
    <t>Assumes ~1 day per month. Data collection ongoing (no RTF time) for MH calibration; potential for addressing changes relative to other measures (MF) or required maintenance; NREL Energy Plus/SEEM comparison. Placeholder for some contract RFP time</t>
  </si>
  <si>
    <t>n/a</t>
  </si>
  <si>
    <t>Relative drop in 2016 to account for minimal SEEM work. Expect that might ramp up in 2017 with new data available to inform calibration. Procost work to remain relatively steady.</t>
  </si>
  <si>
    <t>Increase for general meeting costs, management expenses (Manager wage + inflation, minutes taking, training) and updates to website and database structure.</t>
  </si>
  <si>
    <t>Change to allocation between 2015 and 2016 to better reflect role. Expecting to ramp up these effort due to increased importance of coordination in support of RTF measures.</t>
  </si>
  <si>
    <t>Fewer measures expected 2017 despite Federal standards.  Increasing in 2018 to account for sunsetting measures. Ramping up of new measure development.</t>
  </si>
  <si>
    <t>Assumes about 1 day every other month of dedicated contract analyst.</t>
  </si>
  <si>
    <t>Assumes a little more than 2 days per month contract analyst time. Potential ProCost Updates include: refinements based on experience with new version; using results of end use load research to update ProCost; modeling of cost streams; other maintenance in support of RTF modeling</t>
  </si>
  <si>
    <t>SRR subcommittee is searching for potential measures and may conduct some research looking at other regions. Includes limited support of RTF manager and assumes co-chair support through RFP</t>
  </si>
  <si>
    <t>Assumes about 15% of analysts time for weekly meetings and internal review of each others work.</t>
  </si>
  <si>
    <t>Assumes about six weeks of an analyst time for review support of Momentum Savings work and connecting research to RTF work</t>
  </si>
  <si>
    <t>Placeholder for 2; Anticipate work review of non-residential lighting retrofits and non-residential lighting code compliant; assumes contract analysts do most of the work</t>
  </si>
  <si>
    <t>Anticipate some review of funding research plans to advance Planning measures to Provisional, potentially review new data to advance measure towards Proven; assumes contract analysts do most of the work (~10 weeks)</t>
  </si>
  <si>
    <t>17 UES Measures Expected to Sunset, although at least 4 are tied to research status and some measures may role into next year; assumes RTF contract analysts do most of the work; assumes some contract RFP time to support specific measure analysis.</t>
  </si>
  <si>
    <t>Updating workbooks for 7P assumptions. Assume 1 week of time across two analysts.</t>
  </si>
  <si>
    <t>RTF Meetings and Member Support</t>
  </si>
  <si>
    <t>RTF member support for meetings, travel, and specific project reviews; based on past years with some adder for more member support</t>
  </si>
  <si>
    <t>Assume placeholder for 5. Potential measures identified are DHP for New Construction and Web Enabled Programmable Thermostats for Commercial. Assumes proposer supports large portion of the development, more limited contract analyst time with some comtract RFP</t>
  </si>
  <si>
    <t>General task order for review of material relative to Guidelines and development of Guidelines updates as required. Assumes about 1% of contract analyst team. Anticipates some increase for addressing capacity benefit</t>
  </si>
  <si>
    <t>Define load shape needs priorities list based on RTF measures, review and inform research design, other coordination on regional research (assume about 2 weeks of an analyst). Assumes some contract RFP to support defining existing load shapes.</t>
  </si>
  <si>
    <t xml:space="preserve">Partial salary for one contract analysts focused on coordination of research across measures and coordination with regional research. </t>
  </si>
  <si>
    <t>Assume placeholder for 4. Assumes proposer supports large portion of the development, but also significant contract analyst time. Potential protocols include: Data centers, com and industrial SEM.</t>
  </si>
  <si>
    <t>FINAL Work Plan; Council Approval on October 13, 2015</t>
  </si>
  <si>
    <t>Approved 2016</t>
  </si>
</sst>
</file>

<file path=xl/styles.xml><?xml version="1.0" encoding="utf-8"?>
<styleSheet xmlns="http://schemas.openxmlformats.org/spreadsheetml/2006/main">
  <numFmts count="14">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 numFmtId="170" formatCode="_(&quot;$&quot;* #,##0.0_);_(&quot;$&quot;* \(#,##0.0\);_(&quot;$&quot;* &quot;-&quot;??_);_(@_)"/>
    <numFmt numFmtId="171" formatCode="&quot;$&quot;#,##0"/>
    <numFmt numFmtId="172" formatCode="&quot;$&quot;#,##0.00"/>
    <numFmt numFmtId="173" formatCode="&quot;$&quot;#,##0.0_);\(&quot;$&quot;#,##0.0\)"/>
  </numFmts>
  <fonts count="24">
    <font>
      <sz val="11"/>
      <color theme="1"/>
      <name val="Calibri"/>
      <family val="2"/>
      <scheme val="minor"/>
    </font>
    <font>
      <sz val="12"/>
      <color theme="1"/>
      <name val="Calibri"/>
      <family val="2"/>
      <scheme val="minor"/>
    </font>
    <font>
      <sz val="11"/>
      <color indexed="8"/>
      <name val="Calibri"/>
      <family val="2"/>
    </font>
    <font>
      <sz val="10"/>
      <name val="Arial"/>
      <family val="2"/>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sz val="12"/>
      <color rgb="FF00B050"/>
      <name val="Calibri"/>
      <family val="2"/>
      <scheme val="minor"/>
    </font>
    <font>
      <i/>
      <sz val="12"/>
      <color theme="1"/>
      <name val="Calibri"/>
      <family val="2"/>
      <scheme val="minor"/>
    </font>
    <font>
      <b/>
      <sz val="12"/>
      <color theme="1"/>
      <name val="Calibri"/>
      <family val="2"/>
      <scheme val="minor"/>
    </font>
    <font>
      <b/>
      <sz val="12"/>
      <name val="Calibri"/>
      <family val="2"/>
      <scheme val="minor"/>
    </font>
    <font>
      <sz val="12"/>
      <name val="Calibri"/>
      <family val="2"/>
    </font>
    <font>
      <sz val="12"/>
      <color indexed="11"/>
      <name val="Calibri"/>
      <family val="2"/>
    </font>
    <font>
      <b/>
      <sz val="14"/>
      <color theme="1"/>
      <name val="Calibri"/>
      <family val="2"/>
      <scheme val="minor"/>
    </font>
    <font>
      <u/>
      <sz val="11"/>
      <color theme="10"/>
      <name val="Calibri"/>
      <family val="2"/>
      <scheme val="minor"/>
    </font>
    <font>
      <u/>
      <sz val="11"/>
      <color theme="11"/>
      <name val="Calibri"/>
      <family val="2"/>
      <scheme val="minor"/>
    </font>
    <font>
      <i/>
      <sz val="12"/>
      <color indexed="8"/>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bgColor indexed="64"/>
      </patternFill>
    </fill>
    <fill>
      <patternFill patternType="solid">
        <fgColor theme="8" tint="0.79998168889431442"/>
        <bgColor indexed="64"/>
      </patternFill>
    </fill>
  </fills>
  <borders count="4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
      <left/>
      <right style="thick">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indexed="64"/>
      </left>
      <right/>
      <top/>
      <bottom style="thin">
        <color auto="1"/>
      </bottom>
      <diagonal/>
    </border>
  </borders>
  <cellStyleXfs count="17">
    <xf numFmtId="0" fontId="0" fillId="0" borderId="0"/>
    <xf numFmtId="44" fontId="2"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435">
    <xf numFmtId="0" fontId="0" fillId="0" borderId="0" xfId="0"/>
    <xf numFmtId="0" fontId="7" fillId="0" borderId="0" xfId="0" applyFont="1"/>
    <xf numFmtId="0" fontId="0" fillId="0" borderId="0" xfId="0" applyFill="1"/>
    <xf numFmtId="0" fontId="0" fillId="0" borderId="0" xfId="0" applyBorder="1"/>
    <xf numFmtId="167" fontId="7" fillId="0" borderId="0" xfId="0" applyNumberFormat="1" applyFont="1" applyAlignment="1">
      <alignment horizontal="left"/>
    </xf>
    <xf numFmtId="0" fontId="7" fillId="0" borderId="0" xfId="0" applyFont="1" applyFill="1"/>
    <xf numFmtId="164" fontId="0" fillId="0" borderId="0" xfId="0" applyNumberFormat="1" applyBorder="1"/>
    <xf numFmtId="0" fontId="4" fillId="0" borderId="0" xfId="0" applyFont="1" applyFill="1" applyBorder="1" applyAlignment="1">
      <alignment wrapText="1"/>
    </xf>
    <xf numFmtId="5" fontId="4" fillId="0" borderId="0" xfId="0" applyNumberFormat="1" applyFont="1" applyBorder="1" applyAlignment="1">
      <alignment horizontal="center" vertical="center"/>
    </xf>
    <xf numFmtId="0" fontId="0" fillId="0" borderId="16" xfId="0" applyFill="1" applyBorder="1"/>
    <xf numFmtId="169" fontId="0" fillId="0" borderId="0" xfId="0" applyNumberFormat="1"/>
    <xf numFmtId="0" fontId="0" fillId="0" borderId="0" xfId="0" applyFont="1"/>
    <xf numFmtId="5" fontId="0" fillId="16" borderId="2" xfId="0" applyNumberFormat="1" applyFont="1" applyFill="1" applyBorder="1" applyAlignment="1">
      <alignment horizontal="center" vertical="center"/>
    </xf>
    <xf numFmtId="0" fontId="10" fillId="0" borderId="0" xfId="0" applyFont="1" applyAlignment="1">
      <alignment wrapText="1"/>
    </xf>
    <xf numFmtId="0" fontId="10" fillId="15" borderId="0" xfId="0" applyFont="1" applyFill="1"/>
    <xf numFmtId="0" fontId="10" fillId="15" borderId="0" xfId="0" applyFont="1" applyFill="1" applyAlignment="1">
      <alignment wrapText="1"/>
    </xf>
    <xf numFmtId="0" fontId="11" fillId="15" borderId="0" xfId="0" applyFont="1" applyFill="1"/>
    <xf numFmtId="0" fontId="12" fillId="15" borderId="0" xfId="0" applyFont="1" applyFill="1"/>
    <xf numFmtId="0" fontId="13" fillId="15" borderId="0" xfId="0" applyFont="1" applyFill="1" applyAlignment="1">
      <alignment wrapText="1"/>
    </xf>
    <xf numFmtId="0" fontId="13" fillId="0" borderId="0" xfId="0" applyFont="1"/>
    <xf numFmtId="0" fontId="10" fillId="6" borderId="0" xfId="0" applyFont="1" applyFill="1"/>
    <xf numFmtId="0" fontId="12" fillId="6" borderId="0" xfId="0" applyFont="1" applyFill="1"/>
    <xf numFmtId="0" fontId="11" fillId="6" borderId="0" xfId="0" applyFont="1" applyFill="1"/>
    <xf numFmtId="0" fontId="13" fillId="6" borderId="0" xfId="0" applyFont="1" applyFill="1"/>
    <xf numFmtId="0" fontId="12" fillId="0" borderId="0" xfId="0" applyFont="1"/>
    <xf numFmtId="0" fontId="10" fillId="5" borderId="0" xfId="0" applyFont="1" applyFill="1"/>
    <xf numFmtId="0" fontId="12" fillId="5" borderId="0" xfId="0" applyFont="1" applyFill="1"/>
    <xf numFmtId="0" fontId="13" fillId="5" borderId="0" xfId="0" applyFont="1" applyFill="1"/>
    <xf numFmtId="0" fontId="10" fillId="3" borderId="0" xfId="0" applyFont="1" applyFill="1"/>
    <xf numFmtId="0" fontId="13" fillId="3" borderId="0" xfId="0" applyFont="1" applyFill="1"/>
    <xf numFmtId="0" fontId="14" fillId="0" borderId="0" xfId="0" applyFont="1"/>
    <xf numFmtId="0" fontId="15" fillId="0" borderId="0" xfId="0" applyFont="1"/>
    <xf numFmtId="0" fontId="13" fillId="0" borderId="0" xfId="0" applyFont="1" applyFill="1"/>
    <xf numFmtId="0" fontId="10" fillId="0" borderId="2" xfId="0" applyFont="1" applyBorder="1" applyAlignment="1">
      <alignment horizontal="left" wrapText="1"/>
    </xf>
    <xf numFmtId="0" fontId="10" fillId="0" borderId="2" xfId="0" applyFont="1" applyBorder="1" applyAlignment="1">
      <alignment horizontal="center" wrapText="1"/>
    </xf>
    <xf numFmtId="0" fontId="13" fillId="0" borderId="2" xfId="0" applyFont="1" applyBorder="1" applyAlignment="1">
      <alignment wrapText="1"/>
    </xf>
    <xf numFmtId="0" fontId="14" fillId="0" borderId="0" xfId="0" applyFont="1" applyAlignment="1">
      <alignment wrapText="1"/>
    </xf>
    <xf numFmtId="0" fontId="13" fillId="0" borderId="0" xfId="0" applyFont="1" applyAlignment="1">
      <alignment wrapText="1"/>
    </xf>
    <xf numFmtId="0" fontId="14" fillId="15" borderId="0" xfId="0" applyFont="1" applyFill="1" applyAlignment="1">
      <alignment wrapText="1"/>
    </xf>
    <xf numFmtId="164" fontId="14" fillId="15" borderId="0" xfId="1" applyNumberFormat="1" applyFont="1" applyFill="1" applyAlignment="1"/>
    <xf numFmtId="5" fontId="11" fillId="15" borderId="0" xfId="1" applyNumberFormat="1" applyFont="1" applyFill="1" applyAlignment="1">
      <alignment horizontal="center" vertical="center"/>
    </xf>
    <xf numFmtId="0" fontId="14" fillId="15" borderId="0" xfId="0" applyFont="1" applyFill="1"/>
    <xf numFmtId="0" fontId="13" fillId="15" borderId="0" xfId="0" applyFont="1" applyFill="1"/>
    <xf numFmtId="5" fontId="13" fillId="0" borderId="0" xfId="1" applyNumberFormat="1" applyFont="1" applyAlignment="1">
      <alignment horizontal="center" vertical="center"/>
    </xf>
    <xf numFmtId="0" fontId="14" fillId="6" borderId="0" xfId="0" applyFont="1" applyFill="1"/>
    <xf numFmtId="0" fontId="14" fillId="6" borderId="0" xfId="0" applyFont="1" applyFill="1" applyAlignment="1"/>
    <xf numFmtId="5" fontId="11" fillId="6" borderId="0" xfId="1" applyNumberFormat="1" applyFont="1" applyFill="1" applyAlignment="1">
      <alignment horizontal="center" vertical="center"/>
    </xf>
    <xf numFmtId="0" fontId="14" fillId="5" borderId="0" xfId="0" applyFont="1" applyFill="1"/>
    <xf numFmtId="5" fontId="16" fillId="3" borderId="0" xfId="0" applyNumberFormat="1" applyFont="1" applyFill="1" applyAlignment="1">
      <alignment horizontal="center"/>
    </xf>
    <xf numFmtId="9" fontId="16" fillId="3" borderId="0" xfId="8" applyFont="1" applyFill="1"/>
    <xf numFmtId="0" fontId="14" fillId="3" borderId="0" xfId="0" applyFont="1" applyFill="1"/>
    <xf numFmtId="5" fontId="13" fillId="0" borderId="0" xfId="0" applyNumberFormat="1" applyFont="1"/>
    <xf numFmtId="0" fontId="10" fillId="3" borderId="2" xfId="3" applyFont="1" applyFill="1" applyBorder="1"/>
    <xf numFmtId="0" fontId="10" fillId="3" borderId="2" xfId="3" applyFont="1" applyFill="1" applyBorder="1" applyAlignment="1">
      <alignment horizontal="center" wrapText="1"/>
    </xf>
    <xf numFmtId="0" fontId="10" fillId="3" borderId="3" xfId="3" applyFont="1" applyFill="1" applyBorder="1" applyAlignment="1">
      <alignment horizontal="center" wrapText="1"/>
    </xf>
    <xf numFmtId="0" fontId="10" fillId="3" borderId="22" xfId="3" applyFont="1" applyFill="1" applyBorder="1" applyAlignment="1">
      <alignment horizontal="center" wrapText="1"/>
    </xf>
    <xf numFmtId="0" fontId="10" fillId="3" borderId="23" xfId="3" applyFont="1" applyFill="1" applyBorder="1" applyAlignment="1">
      <alignment horizontal="center" wrapText="1"/>
    </xf>
    <xf numFmtId="0" fontId="10" fillId="3" borderId="1" xfId="3" applyFont="1" applyFill="1" applyBorder="1" applyAlignment="1">
      <alignment horizontal="center" wrapText="1"/>
    </xf>
    <xf numFmtId="0" fontId="12" fillId="8" borderId="3" xfId="3" applyFont="1" applyFill="1" applyBorder="1" applyAlignment="1">
      <alignment vertical="center" wrapText="1"/>
    </xf>
    <xf numFmtId="5" fontId="13" fillId="8" borderId="2" xfId="0" applyNumberFormat="1" applyFont="1" applyFill="1" applyBorder="1" applyAlignment="1">
      <alignment horizontal="center" vertical="center"/>
    </xf>
    <xf numFmtId="5" fontId="13" fillId="8" borderId="3" xfId="0" applyNumberFormat="1" applyFont="1" applyFill="1" applyBorder="1" applyAlignment="1">
      <alignment horizontal="center" vertical="center"/>
    </xf>
    <xf numFmtId="5" fontId="13" fillId="8" borderId="22" xfId="0" applyNumberFormat="1" applyFont="1" applyFill="1" applyBorder="1" applyAlignment="1">
      <alignment horizontal="center" vertical="center"/>
    </xf>
    <xf numFmtId="9" fontId="13" fillId="8" borderId="2" xfId="8" applyFont="1" applyFill="1" applyBorder="1" applyAlignment="1">
      <alignment horizontal="center" vertical="center" wrapText="1"/>
    </xf>
    <xf numFmtId="9" fontId="13" fillId="0" borderId="0" xfId="8" applyFont="1"/>
    <xf numFmtId="5" fontId="13" fillId="8" borderId="23" xfId="0" applyNumberFormat="1" applyFont="1" applyFill="1" applyBorder="1" applyAlignment="1">
      <alignment horizontal="center" vertical="center"/>
    </xf>
    <xf numFmtId="5" fontId="13" fillId="8" borderId="1" xfId="0" applyNumberFormat="1" applyFont="1" applyFill="1" applyBorder="1" applyAlignment="1">
      <alignment horizontal="center" vertical="center"/>
    </xf>
    <xf numFmtId="0" fontId="12" fillId="6" borderId="3" xfId="3" applyFont="1" applyFill="1" applyBorder="1" applyAlignment="1">
      <alignment vertical="center" wrapText="1"/>
    </xf>
    <xf numFmtId="5" fontId="13" fillId="6" borderId="2" xfId="0" applyNumberFormat="1" applyFont="1" applyFill="1" applyBorder="1" applyAlignment="1">
      <alignment horizontal="center" vertical="center"/>
    </xf>
    <xf numFmtId="5" fontId="13" fillId="6" borderId="3" xfId="0" applyNumberFormat="1" applyFont="1" applyFill="1" applyBorder="1" applyAlignment="1">
      <alignment horizontal="center" vertical="center"/>
    </xf>
    <xf numFmtId="5" fontId="13" fillId="6" borderId="22" xfId="0" applyNumberFormat="1" applyFont="1" applyFill="1" applyBorder="1" applyAlignment="1">
      <alignment horizontal="center" vertical="center"/>
    </xf>
    <xf numFmtId="9" fontId="13" fillId="6" borderId="2" xfId="8" applyFont="1" applyFill="1" applyBorder="1" applyAlignment="1">
      <alignment horizontal="center" vertical="center" wrapText="1"/>
    </xf>
    <xf numFmtId="5" fontId="13" fillId="6" borderId="23" xfId="0" applyNumberFormat="1" applyFont="1" applyFill="1" applyBorder="1" applyAlignment="1">
      <alignment horizontal="center" vertical="center"/>
    </xf>
    <xf numFmtId="5" fontId="13" fillId="6" borderId="1" xfId="0" applyNumberFormat="1" applyFont="1" applyFill="1" applyBorder="1" applyAlignment="1">
      <alignment horizontal="center" vertical="center"/>
    </xf>
    <xf numFmtId="0" fontId="12" fillId="5" borderId="3" xfId="3" applyFont="1" applyFill="1" applyBorder="1" applyAlignment="1">
      <alignment vertical="center" wrapText="1"/>
    </xf>
    <xf numFmtId="5" fontId="13" fillId="5" borderId="22" xfId="0" applyNumberFormat="1" applyFont="1" applyFill="1" applyBorder="1" applyAlignment="1">
      <alignment horizontal="center" vertical="center"/>
    </xf>
    <xf numFmtId="9" fontId="13" fillId="5" borderId="2" xfId="8" applyFont="1" applyFill="1" applyBorder="1" applyAlignment="1">
      <alignment horizontal="center" vertical="center" wrapText="1"/>
    </xf>
    <xf numFmtId="5" fontId="13" fillId="5" borderId="23" xfId="0" applyNumberFormat="1" applyFont="1" applyFill="1" applyBorder="1" applyAlignment="1">
      <alignment horizontal="center" vertical="center"/>
    </xf>
    <xf numFmtId="0" fontId="10" fillId="0" borderId="2" xfId="3" applyFont="1" applyBorder="1" applyAlignment="1">
      <alignment vertical="center" wrapText="1"/>
    </xf>
    <xf numFmtId="5" fontId="16" fillId="0" borderId="2" xfId="0" applyNumberFormat="1" applyFont="1" applyBorder="1" applyAlignment="1">
      <alignment horizontal="center" vertical="center"/>
    </xf>
    <xf numFmtId="5" fontId="16" fillId="0" borderId="3" xfId="0" applyNumberFormat="1" applyFont="1" applyBorder="1" applyAlignment="1">
      <alignment horizontal="center" vertical="center"/>
    </xf>
    <xf numFmtId="5" fontId="16" fillId="0" borderId="22" xfId="0" applyNumberFormat="1" applyFont="1" applyBorder="1" applyAlignment="1">
      <alignment horizontal="center" vertical="center"/>
    </xf>
    <xf numFmtId="9" fontId="16" fillId="0" borderId="2" xfId="8" applyFont="1" applyBorder="1" applyAlignment="1">
      <alignment horizontal="center" vertical="center" wrapText="1"/>
    </xf>
    <xf numFmtId="5" fontId="16" fillId="0" borderId="23" xfId="0" applyNumberFormat="1" applyFont="1" applyBorder="1" applyAlignment="1">
      <alignment horizontal="center" vertical="center"/>
    </xf>
    <xf numFmtId="5" fontId="16" fillId="0" borderId="1" xfId="0" applyNumberFormat="1" applyFont="1" applyBorder="1" applyAlignment="1">
      <alignment horizontal="center" vertical="center"/>
    </xf>
    <xf numFmtId="0" fontId="10" fillId="3" borderId="5" xfId="3" applyFont="1" applyFill="1" applyBorder="1" applyAlignment="1">
      <alignment horizontal="center" wrapText="1"/>
    </xf>
    <xf numFmtId="0" fontId="10" fillId="3" borderId="27" xfId="3" applyFont="1" applyFill="1" applyBorder="1" applyAlignment="1">
      <alignment horizontal="center" wrapText="1"/>
    </xf>
    <xf numFmtId="9" fontId="13" fillId="0" borderId="2" xfId="0" applyNumberFormat="1" applyFont="1" applyBorder="1" applyAlignment="1">
      <alignment horizontal="center" vertical="center"/>
    </xf>
    <xf numFmtId="0" fontId="10" fillId="0" borderId="2" xfId="3" applyFont="1" applyBorder="1" applyAlignment="1">
      <alignment horizontal="center" vertical="center" wrapText="1"/>
    </xf>
    <xf numFmtId="5" fontId="13" fillId="0" borderId="2" xfId="0" applyNumberFormat="1" applyFont="1" applyBorder="1" applyAlignment="1">
      <alignment horizontal="center" vertical="center"/>
    </xf>
    <xf numFmtId="0" fontId="10" fillId="3" borderId="2" xfId="3" applyFont="1" applyFill="1" applyBorder="1" applyAlignment="1">
      <alignment horizontal="center" vertical="center" wrapText="1"/>
    </xf>
    <xf numFmtId="0" fontId="13" fillId="10" borderId="2" xfId="0" applyFont="1" applyFill="1" applyBorder="1"/>
    <xf numFmtId="0" fontId="13" fillId="0" borderId="2" xfId="0" applyFont="1" applyBorder="1" applyAlignment="1">
      <alignment vertical="center"/>
    </xf>
    <xf numFmtId="0" fontId="13" fillId="0" borderId="2" xfId="0" applyFont="1" applyBorder="1" applyAlignment="1">
      <alignment vertical="center" wrapText="1"/>
    </xf>
    <xf numFmtId="5" fontId="0" fillId="0" borderId="2" xfId="0" applyNumberFormat="1" applyFont="1" applyFill="1" applyBorder="1" applyAlignment="1">
      <alignment horizontal="center" vertical="center"/>
    </xf>
    <xf numFmtId="0" fontId="13" fillId="3" borderId="2" xfId="0" applyFont="1" applyFill="1" applyBorder="1" applyAlignment="1">
      <alignment wrapText="1"/>
    </xf>
    <xf numFmtId="0" fontId="16" fillId="0" borderId="0" xfId="0" applyFont="1"/>
    <xf numFmtId="0" fontId="13" fillId="0" borderId="0" xfId="0" applyFont="1" applyBorder="1"/>
    <xf numFmtId="0" fontId="10" fillId="3" borderId="21" xfId="3" applyFont="1" applyFill="1" applyBorder="1" applyAlignment="1">
      <alignment horizontal="center" wrapText="1"/>
    </xf>
    <xf numFmtId="5" fontId="16" fillId="0" borderId="21" xfId="0" applyNumberFormat="1" applyFont="1" applyBorder="1" applyAlignment="1">
      <alignment horizontal="center" vertical="center"/>
    </xf>
    <xf numFmtId="0" fontId="12" fillId="0" borderId="2" xfId="3" applyFont="1" applyFill="1" applyBorder="1" applyAlignment="1">
      <alignment vertical="center" wrapText="1"/>
    </xf>
    <xf numFmtId="0" fontId="13" fillId="0" borderId="2" xfId="0" applyFont="1" applyBorder="1"/>
    <xf numFmtId="168" fontId="13" fillId="0" borderId="2" xfId="0" applyNumberFormat="1" applyFont="1" applyBorder="1" applyAlignment="1">
      <alignment horizontal="center" vertical="center"/>
    </xf>
    <xf numFmtId="0" fontId="13" fillId="0" borderId="21" xfId="0" applyFont="1" applyBorder="1"/>
    <xf numFmtId="168" fontId="13" fillId="0" borderId="1" xfId="0" applyNumberFormat="1" applyFont="1" applyBorder="1" applyAlignment="1">
      <alignment horizontal="center" vertical="center"/>
    </xf>
    <xf numFmtId="0" fontId="13" fillId="0" borderId="2" xfId="0" applyFont="1" applyBorder="1" applyAlignment="1">
      <alignment horizontal="right"/>
    </xf>
    <xf numFmtId="5" fontId="13" fillId="0" borderId="2" xfId="0" applyNumberFormat="1" applyFont="1" applyBorder="1" applyAlignment="1">
      <alignment horizontal="center"/>
    </xf>
    <xf numFmtId="5" fontId="13" fillId="0" borderId="2" xfId="0" applyNumberFormat="1" applyFont="1" applyBorder="1"/>
    <xf numFmtId="168" fontId="13" fillId="0" borderId="2" xfId="0" applyNumberFormat="1" applyFont="1" applyBorder="1"/>
    <xf numFmtId="0" fontId="16" fillId="3" borderId="2" xfId="0" applyFont="1" applyFill="1" applyBorder="1" applyAlignment="1">
      <alignment horizontal="right"/>
    </xf>
    <xf numFmtId="0" fontId="11" fillId="8" borderId="2" xfId="0" applyFont="1" applyFill="1" applyBorder="1" applyAlignment="1">
      <alignment horizontal="right"/>
    </xf>
    <xf numFmtId="5" fontId="13" fillId="8" borderId="2" xfId="0" applyNumberFormat="1" applyFont="1" applyFill="1" applyBorder="1"/>
    <xf numFmtId="0" fontId="11" fillId="6" borderId="2" xfId="0" applyFont="1" applyFill="1" applyBorder="1" applyAlignment="1">
      <alignment horizontal="right"/>
    </xf>
    <xf numFmtId="5" fontId="13" fillId="6" borderId="2" xfId="0" applyNumberFormat="1" applyFont="1" applyFill="1" applyBorder="1"/>
    <xf numFmtId="0" fontId="11" fillId="5" borderId="2" xfId="0" applyFont="1" applyFill="1" applyBorder="1" applyAlignment="1">
      <alignment horizontal="right"/>
    </xf>
    <xf numFmtId="5" fontId="13" fillId="5" borderId="2" xfId="0" applyNumberFormat="1" applyFont="1" applyFill="1" applyBorder="1"/>
    <xf numFmtId="0" fontId="16" fillId="0" borderId="2" xfId="0" applyFont="1" applyBorder="1" applyAlignment="1">
      <alignment horizontal="right"/>
    </xf>
    <xf numFmtId="5" fontId="16" fillId="0" borderId="2" xfId="0" applyNumberFormat="1" applyFont="1" applyBorder="1"/>
    <xf numFmtId="0" fontId="11" fillId="0" borderId="0" xfId="3" applyFont="1"/>
    <xf numFmtId="0" fontId="11" fillId="6" borderId="0" xfId="3" applyFont="1" applyFill="1"/>
    <xf numFmtId="164" fontId="13" fillId="6" borderId="0" xfId="2" applyNumberFormat="1" applyFont="1" applyFill="1"/>
    <xf numFmtId="0" fontId="17" fillId="0" borderId="0" xfId="3" applyFont="1"/>
    <xf numFmtId="165" fontId="13" fillId="7" borderId="3" xfId="6" applyNumberFormat="1" applyFont="1" applyFill="1" applyBorder="1"/>
    <xf numFmtId="0" fontId="11" fillId="7" borderId="1" xfId="3" applyFont="1" applyFill="1" applyBorder="1"/>
    <xf numFmtId="165" fontId="13" fillId="7" borderId="0" xfId="6" applyNumberFormat="1" applyFont="1" applyFill="1"/>
    <xf numFmtId="0" fontId="11" fillId="7" borderId="0" xfId="3" applyFont="1" applyFill="1"/>
    <xf numFmtId="0" fontId="17" fillId="9" borderId="2" xfId="3" applyFont="1" applyFill="1" applyBorder="1" applyAlignment="1">
      <alignment wrapText="1"/>
    </xf>
    <xf numFmtId="0" fontId="11" fillId="0" borderId="2" xfId="3" applyFont="1" applyBorder="1"/>
    <xf numFmtId="9" fontId="11" fillId="2" borderId="2" xfId="3" applyNumberFormat="1" applyFont="1" applyFill="1" applyBorder="1"/>
    <xf numFmtId="9" fontId="11" fillId="0" borderId="2" xfId="3" applyNumberFormat="1" applyFont="1" applyBorder="1"/>
    <xf numFmtId="0" fontId="11" fillId="0" borderId="2" xfId="3" applyFont="1" applyFill="1" applyBorder="1"/>
    <xf numFmtId="9" fontId="11" fillId="0" borderId="2" xfId="4" applyFont="1" applyBorder="1"/>
    <xf numFmtId="9" fontId="11" fillId="0" borderId="0" xfId="3" applyNumberFormat="1" applyFont="1"/>
    <xf numFmtId="164" fontId="11" fillId="0" borderId="0" xfId="2" applyNumberFormat="1" applyFont="1"/>
    <xf numFmtId="0" fontId="11" fillId="14" borderId="2" xfId="3" applyFont="1" applyFill="1" applyBorder="1"/>
    <xf numFmtId="9" fontId="11" fillId="14" borderId="2" xfId="3" applyNumberFormat="1" applyFont="1" applyFill="1" applyBorder="1"/>
    <xf numFmtId="0" fontId="17" fillId="4" borderId="2" xfId="3" applyFont="1" applyFill="1" applyBorder="1"/>
    <xf numFmtId="165" fontId="17" fillId="4" borderId="2" xfId="6" applyNumberFormat="1" applyFont="1" applyFill="1" applyBorder="1"/>
    <xf numFmtId="0" fontId="17" fillId="4" borderId="0" xfId="3" applyFont="1" applyFill="1" applyBorder="1"/>
    <xf numFmtId="165" fontId="17" fillId="4" borderId="0" xfId="6" applyNumberFormat="1" applyFont="1" applyFill="1" applyBorder="1"/>
    <xf numFmtId="164" fontId="17" fillId="4" borderId="0" xfId="3" applyNumberFormat="1" applyFont="1" applyFill="1"/>
    <xf numFmtId="9" fontId="11" fillId="0" borderId="0" xfId="3" applyNumberFormat="1" applyFont="1" applyFill="1"/>
    <xf numFmtId="0" fontId="17" fillId="4" borderId="26" xfId="3" applyFont="1" applyFill="1" applyBorder="1"/>
    <xf numFmtId="164" fontId="11" fillId="0" borderId="0" xfId="1" applyNumberFormat="1" applyFont="1"/>
    <xf numFmtId="164" fontId="11" fillId="0" borderId="0" xfId="3" applyNumberFormat="1" applyFont="1"/>
    <xf numFmtId="0" fontId="16" fillId="10" borderId="0" xfId="0" applyFont="1" applyFill="1"/>
    <xf numFmtId="0" fontId="13" fillId="10" borderId="0" xfId="0" applyFont="1" applyFill="1"/>
    <xf numFmtId="0" fontId="16" fillId="10" borderId="0" xfId="0" applyFont="1" applyFill="1" applyAlignment="1">
      <alignment wrapText="1"/>
    </xf>
    <xf numFmtId="0" fontId="18" fillId="3" borderId="0" xfId="0" applyFont="1" applyFill="1"/>
    <xf numFmtId="0" fontId="11" fillId="3" borderId="0" xfId="0" applyFont="1" applyFill="1"/>
    <xf numFmtId="0" fontId="11" fillId="0" borderId="0" xfId="0" applyFont="1" applyFill="1"/>
    <xf numFmtId="164" fontId="11" fillId="0" borderId="0" xfId="1" applyNumberFormat="1" applyFont="1" applyAlignment="1">
      <alignment wrapText="1"/>
    </xf>
    <xf numFmtId="0" fontId="19" fillId="3" borderId="0" xfId="0" applyFont="1" applyFill="1"/>
    <xf numFmtId="164" fontId="13" fillId="0" borderId="0" xfId="1" applyNumberFormat="1" applyFont="1" applyAlignment="1">
      <alignment wrapText="1"/>
    </xf>
    <xf numFmtId="164" fontId="13" fillId="0" borderId="0" xfId="1" applyNumberFormat="1" applyFont="1" applyFill="1" applyAlignment="1">
      <alignment wrapText="1"/>
    </xf>
    <xf numFmtId="0" fontId="19" fillId="0" borderId="0" xfId="0" applyFont="1" applyFill="1"/>
    <xf numFmtId="0" fontId="13" fillId="0" borderId="0" xfId="0" applyFont="1" applyAlignment="1">
      <alignment horizontal="right"/>
    </xf>
    <xf numFmtId="0" fontId="16" fillId="10" borderId="5" xfId="0" applyFont="1" applyFill="1" applyBorder="1" applyAlignment="1">
      <alignment wrapText="1"/>
    </xf>
    <xf numFmtId="0" fontId="16" fillId="10" borderId="7" xfId="0" applyFont="1" applyFill="1" applyBorder="1" applyAlignment="1">
      <alignment wrapText="1"/>
    </xf>
    <xf numFmtId="0" fontId="16" fillId="10" borderId="8" xfId="0" applyFont="1" applyFill="1" applyBorder="1" applyAlignment="1">
      <alignment wrapText="1"/>
    </xf>
    <xf numFmtId="9" fontId="13" fillId="0" borderId="6" xfId="0" applyNumberFormat="1" applyFont="1" applyBorder="1"/>
    <xf numFmtId="1" fontId="13" fillId="0" borderId="0" xfId="0" applyNumberFormat="1" applyFont="1" applyBorder="1"/>
    <xf numFmtId="1" fontId="13" fillId="0" borderId="9" xfId="0" applyNumberFormat="1" applyFont="1" applyBorder="1"/>
    <xf numFmtId="166" fontId="13" fillId="0" borderId="9" xfId="0" applyNumberFormat="1" applyFont="1" applyBorder="1"/>
    <xf numFmtId="9" fontId="13" fillId="0" borderId="10" xfId="0" applyNumberFormat="1" applyFont="1" applyBorder="1"/>
    <xf numFmtId="1" fontId="13" fillId="0" borderId="11" xfId="0" applyNumberFormat="1" applyFont="1" applyBorder="1"/>
    <xf numFmtId="0" fontId="13" fillId="0" borderId="11" xfId="0" applyFont="1" applyBorder="1"/>
    <xf numFmtId="166" fontId="13" fillId="0" borderId="12" xfId="0" applyNumberFormat="1" applyFont="1" applyBorder="1"/>
    <xf numFmtId="0" fontId="13" fillId="0" borderId="2" xfId="0" applyFont="1" applyBorder="1" applyAlignment="1">
      <alignment horizontal="center"/>
    </xf>
    <xf numFmtId="0" fontId="13" fillId="0" borderId="2" xfId="0" applyFont="1" applyBorder="1" applyAlignment="1">
      <alignment horizontal="left"/>
    </xf>
    <xf numFmtId="0" fontId="13" fillId="11" borderId="2" xfId="0" applyFont="1" applyFill="1" applyBorder="1" applyAlignment="1">
      <alignment horizontal="center"/>
    </xf>
    <xf numFmtId="0" fontId="13" fillId="12" borderId="2" xfId="0" applyFont="1" applyFill="1" applyBorder="1" applyAlignment="1">
      <alignment horizontal="center"/>
    </xf>
    <xf numFmtId="9" fontId="13" fillId="0" borderId="2" xfId="4" applyFont="1" applyBorder="1" applyAlignment="1">
      <alignment horizontal="center"/>
    </xf>
    <xf numFmtId="0" fontId="16" fillId="13" borderId="13" xfId="0" applyFont="1" applyFill="1" applyBorder="1" applyAlignment="1">
      <alignment wrapText="1"/>
    </xf>
    <xf numFmtId="0" fontId="16" fillId="13" borderId="14" xfId="0" applyFont="1" applyFill="1" applyBorder="1" applyAlignment="1">
      <alignment wrapText="1"/>
    </xf>
    <xf numFmtId="0" fontId="16" fillId="13" borderId="15" xfId="0" applyFont="1" applyFill="1" applyBorder="1" applyAlignment="1">
      <alignment wrapText="1"/>
    </xf>
    <xf numFmtId="0" fontId="13" fillId="0" borderId="16" xfId="0" applyFont="1" applyBorder="1"/>
    <xf numFmtId="164" fontId="13" fillId="0" borderId="0" xfId="0" applyNumberFormat="1" applyFont="1" applyBorder="1"/>
    <xf numFmtId="164" fontId="13" fillId="0" borderId="17" xfId="0" applyNumberFormat="1" applyFont="1" applyBorder="1"/>
    <xf numFmtId="0" fontId="13" fillId="0" borderId="17" xfId="0" applyFont="1" applyBorder="1"/>
    <xf numFmtId="0" fontId="16" fillId="0" borderId="18" xfId="0" applyFont="1" applyBorder="1"/>
    <xf numFmtId="169" fontId="16" fillId="0" borderId="19" xfId="0" applyNumberFormat="1" applyFont="1" applyBorder="1"/>
    <xf numFmtId="164" fontId="16" fillId="0" borderId="19" xfId="0" applyNumberFormat="1" applyFont="1" applyBorder="1"/>
    <xf numFmtId="164" fontId="16" fillId="0" borderId="20" xfId="0" applyNumberFormat="1" applyFont="1" applyBorder="1"/>
    <xf numFmtId="0" fontId="20" fillId="0" borderId="0" xfId="0" applyFont="1"/>
    <xf numFmtId="7" fontId="13" fillId="5" borderId="0" xfId="0" applyNumberFormat="1" applyFont="1" applyFill="1"/>
    <xf numFmtId="0" fontId="16" fillId="17" borderId="2" xfId="0" applyFont="1" applyFill="1" applyBorder="1" applyAlignment="1">
      <alignment horizontal="center"/>
    </xf>
    <xf numFmtId="0" fontId="16" fillId="17" borderId="6" xfId="0" applyFont="1" applyFill="1" applyBorder="1" applyAlignment="1">
      <alignment horizontal="right" vertical="center"/>
    </xf>
    <xf numFmtId="9" fontId="16" fillId="17" borderId="9" xfId="8" applyFont="1" applyFill="1" applyBorder="1" applyAlignment="1">
      <alignment horizontal="center"/>
    </xf>
    <xf numFmtId="0" fontId="16" fillId="17" borderId="6" xfId="0" applyFont="1" applyFill="1" applyBorder="1" applyAlignment="1">
      <alignment horizontal="right"/>
    </xf>
    <xf numFmtId="5" fontId="16" fillId="17" borderId="9" xfId="0" applyNumberFormat="1" applyFont="1" applyFill="1" applyBorder="1" applyAlignment="1">
      <alignment horizontal="center" vertical="center"/>
    </xf>
    <xf numFmtId="0" fontId="13" fillId="17" borderId="2" xfId="0" applyFont="1" applyFill="1" applyBorder="1"/>
    <xf numFmtId="5" fontId="16" fillId="0" borderId="27" xfId="0" applyNumberFormat="1" applyFont="1" applyBorder="1" applyAlignment="1">
      <alignment horizontal="center" vertical="center"/>
    </xf>
    <xf numFmtId="0" fontId="13" fillId="17" borderId="0" xfId="0" applyFont="1" applyFill="1" applyAlignment="1">
      <alignment horizontal="right"/>
    </xf>
    <xf numFmtId="10" fontId="13" fillId="17" borderId="0" xfId="0" applyNumberFormat="1" applyFont="1" applyFill="1"/>
    <xf numFmtId="5" fontId="13" fillId="5" borderId="2" xfId="0" applyNumberFormat="1" applyFont="1" applyFill="1" applyBorder="1" applyAlignment="1">
      <alignment horizontal="center" vertical="center"/>
    </xf>
    <xf numFmtId="5" fontId="13" fillId="5" borderId="3" xfId="0" applyNumberFormat="1" applyFont="1" applyFill="1" applyBorder="1" applyAlignment="1">
      <alignment horizontal="center" vertical="center"/>
    </xf>
    <xf numFmtId="5" fontId="13" fillId="5" borderId="1" xfId="0" applyNumberFormat="1" applyFont="1" applyFill="1" applyBorder="1" applyAlignment="1">
      <alignment horizontal="center" vertical="center"/>
    </xf>
    <xf numFmtId="9" fontId="13" fillId="8" borderId="2" xfId="8" applyNumberFormat="1" applyFont="1" applyFill="1" applyBorder="1" applyAlignment="1">
      <alignment horizontal="center" vertical="center" wrapText="1"/>
    </xf>
    <xf numFmtId="9" fontId="13" fillId="6" borderId="2" xfId="8" applyNumberFormat="1" applyFont="1" applyFill="1" applyBorder="1" applyAlignment="1">
      <alignment horizontal="center" vertical="center" wrapText="1"/>
    </xf>
    <xf numFmtId="9" fontId="13" fillId="5" borderId="2" xfId="8" applyNumberFormat="1" applyFont="1" applyFill="1" applyBorder="1" applyAlignment="1">
      <alignment horizontal="center" vertical="center" wrapText="1"/>
    </xf>
    <xf numFmtId="172" fontId="0" fillId="0" borderId="0" xfId="0" applyNumberFormat="1"/>
    <xf numFmtId="9" fontId="16" fillId="0" borderId="23" xfId="8" applyFont="1" applyBorder="1" applyAlignment="1">
      <alignment horizontal="center" vertical="center" wrapText="1"/>
    </xf>
    <xf numFmtId="5" fontId="0" fillId="0" borderId="0" xfId="0" applyNumberFormat="1"/>
    <xf numFmtId="5" fontId="13" fillId="0" borderId="0" xfId="8" applyNumberFormat="1" applyFont="1"/>
    <xf numFmtId="9" fontId="11" fillId="15" borderId="0" xfId="8" applyFont="1" applyFill="1" applyAlignment="1">
      <alignment wrapText="1"/>
    </xf>
    <xf numFmtId="0" fontId="11" fillId="15" borderId="0" xfId="0" applyFont="1" applyFill="1" applyAlignment="1">
      <alignment wrapText="1"/>
    </xf>
    <xf numFmtId="171" fontId="11" fillId="15" borderId="0" xfId="7" applyNumberFormat="1" applyFont="1" applyFill="1" applyAlignment="1">
      <alignment wrapText="1"/>
    </xf>
    <xf numFmtId="5" fontId="17" fillId="15" borderId="0" xfId="1" applyNumberFormat="1" applyFont="1" applyFill="1" applyAlignment="1">
      <alignment horizontal="center" vertical="center"/>
    </xf>
    <xf numFmtId="9" fontId="17" fillId="15" borderId="0" xfId="8" applyFont="1" applyFill="1" applyAlignment="1">
      <alignment wrapText="1"/>
    </xf>
    <xf numFmtId="0" fontId="17" fillId="15" borderId="0" xfId="0" applyFont="1" applyFill="1" applyAlignment="1">
      <alignment wrapText="1"/>
    </xf>
    <xf numFmtId="5" fontId="11" fillId="0" borderId="0" xfId="1" applyNumberFormat="1" applyFont="1" applyAlignment="1">
      <alignment horizontal="center" vertical="center"/>
    </xf>
    <xf numFmtId="7" fontId="11" fillId="0" borderId="0" xfId="0" applyNumberFormat="1" applyFont="1"/>
    <xf numFmtId="0" fontId="11" fillId="0" borderId="0" xfId="0" applyFont="1"/>
    <xf numFmtId="0" fontId="11" fillId="6" borderId="0" xfId="0" applyFont="1" applyFill="1" applyAlignment="1"/>
    <xf numFmtId="5" fontId="17" fillId="6" borderId="0" xfId="1" applyNumberFormat="1" applyFont="1" applyFill="1" applyAlignment="1">
      <alignment horizontal="center" vertical="center"/>
    </xf>
    <xf numFmtId="9" fontId="17" fillId="6" borderId="0" xfId="8" applyFont="1" applyFill="1"/>
    <xf numFmtId="5" fontId="11" fillId="5" borderId="0" xfId="1" applyNumberFormat="1" applyFont="1" applyFill="1" applyAlignment="1">
      <alignment horizontal="center" vertical="center"/>
    </xf>
    <xf numFmtId="0" fontId="11" fillId="5" borderId="0" xfId="0" applyFont="1" applyFill="1"/>
    <xf numFmtId="5" fontId="17" fillId="5" borderId="0" xfId="1" applyNumberFormat="1" applyFont="1" applyFill="1" applyAlignment="1">
      <alignment horizontal="center" vertical="center"/>
    </xf>
    <xf numFmtId="9" fontId="17" fillId="5" borderId="0" xfId="8" applyNumberFormat="1" applyFont="1" applyFill="1"/>
    <xf numFmtId="7" fontId="11" fillId="5" borderId="0" xfId="0" applyNumberFormat="1" applyFont="1" applyFill="1"/>
    <xf numFmtId="5" fontId="11" fillId="5" borderId="0" xfId="0" applyNumberFormat="1" applyFont="1" applyFill="1"/>
    <xf numFmtId="7" fontId="13" fillId="0" borderId="0" xfId="0" applyNumberFormat="1" applyFont="1"/>
    <xf numFmtId="0" fontId="0" fillId="0" borderId="0" xfId="0" applyAlignment="1">
      <alignment horizontal="right"/>
    </xf>
    <xf numFmtId="44" fontId="11" fillId="0" borderId="0" xfId="3" applyNumberFormat="1" applyFont="1"/>
    <xf numFmtId="0" fontId="16" fillId="18" borderId="0" xfId="0" applyFont="1" applyFill="1"/>
    <xf numFmtId="0" fontId="0" fillId="18" borderId="0" xfId="0" applyFill="1"/>
    <xf numFmtId="0" fontId="16" fillId="7" borderId="38" xfId="0" applyFont="1" applyFill="1" applyBorder="1" applyAlignment="1">
      <alignment horizontal="center" vertical="center" wrapText="1"/>
    </xf>
    <xf numFmtId="0" fontId="16" fillId="7" borderId="40" xfId="0" applyFont="1" applyFill="1" applyBorder="1" applyAlignment="1">
      <alignment horizontal="center" vertical="center" wrapText="1"/>
    </xf>
    <xf numFmtId="5" fontId="16" fillId="13" borderId="38" xfId="0" applyNumberFormat="1" applyFont="1" applyFill="1" applyBorder="1" applyAlignment="1">
      <alignment wrapText="1"/>
    </xf>
    <xf numFmtId="5" fontId="16" fillId="17" borderId="40" xfId="0" applyNumberFormat="1" applyFont="1" applyFill="1" applyBorder="1" applyAlignment="1">
      <alignment wrapText="1"/>
    </xf>
    <xf numFmtId="0" fontId="13" fillId="0" borderId="36" xfId="0" applyFont="1" applyBorder="1"/>
    <xf numFmtId="164" fontId="13" fillId="0" borderId="42" xfId="0" applyNumberFormat="1" applyFont="1" applyBorder="1"/>
    <xf numFmtId="164" fontId="13" fillId="0" borderId="37" xfId="0" applyNumberFormat="1" applyFont="1" applyBorder="1"/>
    <xf numFmtId="164" fontId="13" fillId="17" borderId="43" xfId="0" applyNumberFormat="1" applyFont="1" applyFill="1" applyBorder="1"/>
    <xf numFmtId="164" fontId="13" fillId="0" borderId="6" xfId="0" applyNumberFormat="1" applyFont="1" applyBorder="1"/>
    <xf numFmtId="164" fontId="13" fillId="0" borderId="25" xfId="0" applyNumberFormat="1" applyFont="1" applyBorder="1"/>
    <xf numFmtId="164" fontId="13" fillId="17" borderId="44" xfId="0" applyNumberFormat="1" applyFont="1" applyFill="1" applyBorder="1"/>
    <xf numFmtId="164" fontId="13" fillId="19" borderId="6" xfId="0" applyNumberFormat="1" applyFont="1" applyFill="1" applyBorder="1"/>
    <xf numFmtId="164" fontId="13" fillId="19" borderId="44" xfId="0" applyNumberFormat="1" applyFont="1" applyFill="1" applyBorder="1"/>
    <xf numFmtId="0" fontId="13" fillId="0" borderId="18" xfId="0" applyFont="1" applyBorder="1"/>
    <xf numFmtId="164" fontId="13" fillId="0" borderId="45" xfId="0" applyNumberFormat="1" applyFont="1" applyBorder="1"/>
    <xf numFmtId="164" fontId="13" fillId="0" borderId="41" xfId="0" applyNumberFormat="1" applyFont="1" applyBorder="1"/>
    <xf numFmtId="164" fontId="13" fillId="17" borderId="46" xfId="0" applyNumberFormat="1" applyFont="1" applyFill="1" applyBorder="1"/>
    <xf numFmtId="10" fontId="16" fillId="0" borderId="41" xfId="0" applyNumberFormat="1" applyFont="1" applyBorder="1"/>
    <xf numFmtId="164" fontId="16" fillId="17" borderId="46" xfId="0" applyNumberFormat="1" applyFont="1" applyFill="1" applyBorder="1"/>
    <xf numFmtId="0" fontId="0" fillId="19" borderId="16" xfId="0" applyFill="1" applyBorder="1"/>
    <xf numFmtId="0" fontId="0" fillId="19" borderId="0" xfId="0" applyFill="1"/>
    <xf numFmtId="164" fontId="0" fillId="0" borderId="0" xfId="8" applyNumberFormat="1" applyFont="1"/>
    <xf numFmtId="0" fontId="4" fillId="0" borderId="11" xfId="0" applyFont="1" applyBorder="1"/>
    <xf numFmtId="0" fontId="4" fillId="0" borderId="11" xfId="0" applyFont="1" applyBorder="1" applyAlignment="1">
      <alignment horizontal="center"/>
    </xf>
    <xf numFmtId="10" fontId="0" fillId="0" borderId="0" xfId="0" applyNumberFormat="1"/>
    <xf numFmtId="10" fontId="0" fillId="20" borderId="0" xfId="0" applyNumberFormat="1" applyFill="1"/>
    <xf numFmtId="171" fontId="0" fillId="0" borderId="0" xfId="0" applyNumberFormat="1"/>
    <xf numFmtId="171" fontId="0" fillId="20" borderId="0" xfId="0" applyNumberFormat="1" applyFill="1"/>
    <xf numFmtId="0" fontId="0" fillId="20" borderId="0" xfId="0" applyFill="1"/>
    <xf numFmtId="43" fontId="0" fillId="20" borderId="0" xfId="7" applyFont="1" applyFill="1"/>
    <xf numFmtId="9" fontId="0" fillId="0" borderId="0" xfId="8" applyNumberFormat="1" applyFont="1"/>
    <xf numFmtId="10" fontId="0" fillId="0" borderId="0" xfId="8" applyNumberFormat="1" applyFont="1"/>
    <xf numFmtId="0" fontId="0" fillId="21" borderId="0" xfId="0" applyFill="1"/>
    <xf numFmtId="164" fontId="0" fillId="0" borderId="0" xfId="7" applyNumberFormat="1" applyFont="1"/>
    <xf numFmtId="164" fontId="0" fillId="0" borderId="0" xfId="0" applyNumberFormat="1"/>
    <xf numFmtId="164" fontId="16" fillId="18" borderId="0" xfId="1" applyNumberFormat="1" applyFont="1" applyFill="1"/>
    <xf numFmtId="10" fontId="13" fillId="0" borderId="0" xfId="5" applyNumberFormat="1" applyFont="1" applyBorder="1"/>
    <xf numFmtId="0" fontId="12" fillId="0" borderId="3" xfId="3" applyFont="1" applyFill="1" applyBorder="1" applyAlignment="1">
      <alignment vertical="center" wrapText="1"/>
    </xf>
    <xf numFmtId="5" fontId="13" fillId="0" borderId="2" xfId="0" applyNumberFormat="1" applyFont="1" applyFill="1" applyBorder="1" applyAlignment="1">
      <alignment horizontal="center" vertical="center"/>
    </xf>
    <xf numFmtId="0" fontId="12" fillId="18" borderId="3" xfId="3" applyFont="1" applyFill="1" applyBorder="1" applyAlignment="1">
      <alignment vertical="center" wrapText="1"/>
    </xf>
    <xf numFmtId="5" fontId="13" fillId="18" borderId="2" xfId="0" applyNumberFormat="1" applyFont="1" applyFill="1" applyBorder="1" applyAlignment="1">
      <alignment horizontal="center" vertical="center"/>
    </xf>
    <xf numFmtId="9" fontId="13" fillId="0" borderId="0" xfId="0" applyNumberFormat="1" applyFont="1"/>
    <xf numFmtId="5" fontId="13" fillId="0" borderId="21" xfId="0" applyNumberFormat="1" applyFont="1" applyBorder="1"/>
    <xf numFmtId="171" fontId="13" fillId="0" borderId="0" xfId="0" applyNumberFormat="1" applyFont="1"/>
    <xf numFmtId="0" fontId="13" fillId="0" borderId="0" xfId="0" applyFont="1" applyAlignment="1">
      <alignment horizontal="center" vertical="center"/>
    </xf>
    <xf numFmtId="0" fontId="11" fillId="0" borderId="2" xfId="0" applyFont="1" applyFill="1" applyBorder="1" applyAlignment="1">
      <alignment horizontal="right"/>
    </xf>
    <xf numFmtId="5" fontId="13" fillId="22" borderId="2" xfId="0" applyNumberFormat="1" applyFont="1" applyFill="1" applyBorder="1" applyAlignment="1">
      <alignment horizontal="right"/>
    </xf>
    <xf numFmtId="5" fontId="13" fillId="0" borderId="2" xfId="0" applyNumberFormat="1" applyFont="1" applyFill="1" applyBorder="1"/>
    <xf numFmtId="0" fontId="13" fillId="3" borderId="0" xfId="0" applyFont="1" applyFill="1" applyAlignment="1">
      <alignment wrapText="1"/>
    </xf>
    <xf numFmtId="164" fontId="11" fillId="3" borderId="0" xfId="1" applyNumberFormat="1" applyFont="1" applyFill="1" applyAlignment="1">
      <alignment wrapText="1"/>
    </xf>
    <xf numFmtId="0" fontId="11" fillId="3" borderId="0" xfId="0" applyFont="1" applyFill="1" applyAlignment="1">
      <alignment wrapText="1"/>
    </xf>
    <xf numFmtId="164" fontId="13" fillId="3" borderId="0" xfId="1" applyNumberFormat="1" applyFont="1" applyFill="1" applyAlignment="1">
      <alignment wrapText="1"/>
    </xf>
    <xf numFmtId="170" fontId="13" fillId="3" borderId="0" xfId="1" applyNumberFormat="1" applyFont="1" applyFill="1" applyAlignment="1">
      <alignment wrapText="1"/>
    </xf>
    <xf numFmtId="44" fontId="13" fillId="3" borderId="0" xfId="1" applyNumberFormat="1" applyFont="1" applyFill="1" applyAlignment="1">
      <alignment wrapText="1"/>
    </xf>
    <xf numFmtId="0" fontId="16" fillId="7" borderId="10" xfId="0" applyFont="1" applyFill="1" applyBorder="1" applyAlignment="1">
      <alignment horizontal="right"/>
    </xf>
    <xf numFmtId="168" fontId="16" fillId="7" borderId="12" xfId="7" applyNumberFormat="1" applyFont="1" applyFill="1" applyBorder="1" applyAlignment="1">
      <alignment horizontal="center"/>
    </xf>
    <xf numFmtId="0" fontId="13" fillId="7" borderId="0" xfId="0" applyFont="1" applyFill="1"/>
    <xf numFmtId="9" fontId="11" fillId="5" borderId="0" xfId="8" applyFont="1" applyFill="1"/>
    <xf numFmtId="9" fontId="11" fillId="5" borderId="0" xfId="0" applyNumberFormat="1" applyFont="1" applyFill="1"/>
    <xf numFmtId="0" fontId="10" fillId="2" borderId="2" xfId="0" applyFont="1" applyFill="1" applyBorder="1" applyAlignment="1">
      <alignment horizontal="center" wrapText="1"/>
    </xf>
    <xf numFmtId="0" fontId="17" fillId="0" borderId="0" xfId="3" applyFont="1" applyFill="1"/>
    <xf numFmtId="0" fontId="11" fillId="0" borderId="0" xfId="3" applyFont="1" applyFill="1"/>
    <xf numFmtId="0" fontId="1" fillId="17" borderId="6" xfId="0" applyFont="1" applyFill="1" applyBorder="1"/>
    <xf numFmtId="171" fontId="13" fillId="17" borderId="0" xfId="0" applyNumberFormat="1" applyFont="1" applyFill="1" applyBorder="1"/>
    <xf numFmtId="171" fontId="13" fillId="17" borderId="9" xfId="0" applyNumberFormat="1" applyFont="1" applyFill="1" applyBorder="1"/>
    <xf numFmtId="0" fontId="13" fillId="17" borderId="3" xfId="0" applyFont="1" applyFill="1" applyBorder="1"/>
    <xf numFmtId="0" fontId="16" fillId="17" borderId="4" xfId="0" applyFont="1" applyFill="1" applyBorder="1"/>
    <xf numFmtId="0" fontId="16" fillId="17" borderId="1" xfId="0" applyFont="1" applyFill="1" applyBorder="1"/>
    <xf numFmtId="9" fontId="16" fillId="17" borderId="10" xfId="8" applyFont="1" applyFill="1" applyBorder="1"/>
    <xf numFmtId="171" fontId="16" fillId="17" borderId="11" xfId="0" applyNumberFormat="1" applyFont="1" applyFill="1" applyBorder="1"/>
    <xf numFmtId="171" fontId="16" fillId="17" borderId="12" xfId="0" applyNumberFormat="1" applyFont="1" applyFill="1" applyBorder="1"/>
    <xf numFmtId="9" fontId="1" fillId="23" borderId="3" xfId="8" applyFont="1" applyFill="1" applyBorder="1"/>
    <xf numFmtId="171" fontId="13" fillId="23" borderId="1" xfId="0" applyNumberFormat="1" applyFont="1" applyFill="1" applyBorder="1"/>
    <xf numFmtId="171" fontId="1" fillId="23" borderId="4" xfId="2" applyNumberFormat="1" applyFont="1" applyFill="1" applyBorder="1"/>
    <xf numFmtId="168" fontId="16" fillId="17" borderId="9" xfId="7" applyNumberFormat="1" applyFont="1" applyFill="1" applyBorder="1" applyAlignment="1">
      <alignment horizontal="center"/>
    </xf>
    <xf numFmtId="171" fontId="13" fillId="17" borderId="8" xfId="0" applyNumberFormat="1" applyFont="1" applyFill="1" applyBorder="1"/>
    <xf numFmtId="164" fontId="13" fillId="0" borderId="0" xfId="2" applyNumberFormat="1" applyFont="1" applyFill="1"/>
    <xf numFmtId="0" fontId="1" fillId="0" borderId="0" xfId="0" applyFont="1"/>
    <xf numFmtId="0" fontId="1" fillId="0" borderId="0" xfId="0" applyFont="1" applyFill="1"/>
    <xf numFmtId="0" fontId="10" fillId="3" borderId="2" xfId="3" applyFont="1" applyFill="1" applyBorder="1" applyAlignment="1">
      <alignment horizontal="center" wrapText="1"/>
    </xf>
    <xf numFmtId="168" fontId="13" fillId="0" borderId="3" xfId="0" applyNumberFormat="1" applyFont="1" applyBorder="1" applyAlignment="1">
      <alignment horizontal="center" vertical="center"/>
    </xf>
    <xf numFmtId="0" fontId="10" fillId="3" borderId="2" xfId="3" applyFont="1" applyFill="1" applyBorder="1" applyAlignment="1">
      <alignment vertical="center" wrapText="1"/>
    </xf>
    <xf numFmtId="5" fontId="16" fillId="3" borderId="2" xfId="0" applyNumberFormat="1" applyFont="1" applyFill="1" applyBorder="1" applyAlignment="1">
      <alignment horizontal="center" vertical="center"/>
    </xf>
    <xf numFmtId="5" fontId="16" fillId="3" borderId="1" xfId="0" applyNumberFormat="1" applyFont="1" applyFill="1" applyBorder="1" applyAlignment="1">
      <alignment horizontal="center" vertical="center"/>
    </xf>
    <xf numFmtId="5" fontId="13" fillId="8" borderId="21" xfId="0" applyNumberFormat="1" applyFont="1" applyFill="1" applyBorder="1" applyAlignment="1">
      <alignment horizontal="center" vertical="center"/>
    </xf>
    <xf numFmtId="5" fontId="13" fillId="6" borderId="21" xfId="0" applyNumberFormat="1" applyFont="1" applyFill="1" applyBorder="1" applyAlignment="1">
      <alignment horizontal="center" vertical="center"/>
    </xf>
    <xf numFmtId="5" fontId="13" fillId="5" borderId="21" xfId="0" applyNumberFormat="1" applyFont="1" applyFill="1" applyBorder="1" applyAlignment="1">
      <alignment horizontal="center" vertical="center"/>
    </xf>
    <xf numFmtId="5" fontId="16" fillId="3" borderId="21" xfId="0" applyNumberFormat="1" applyFont="1" applyFill="1" applyBorder="1" applyAlignment="1">
      <alignment horizontal="center" vertical="center"/>
    </xf>
    <xf numFmtId="9" fontId="1" fillId="0" borderId="2" xfId="8" applyFont="1" applyBorder="1" applyAlignment="1">
      <alignment horizontal="center" vertical="center"/>
    </xf>
    <xf numFmtId="0" fontId="16" fillId="0" borderId="0" xfId="0" applyFont="1" applyFill="1" applyBorder="1" applyAlignment="1"/>
    <xf numFmtId="0" fontId="1" fillId="0" borderId="2" xfId="0" applyFont="1" applyBorder="1" applyAlignment="1">
      <alignment horizontal="right"/>
    </xf>
    <xf numFmtId="5" fontId="13" fillId="0" borderId="0" xfId="0" applyNumberFormat="1" applyFont="1" applyAlignment="1">
      <alignment vertical="top"/>
    </xf>
    <xf numFmtId="9" fontId="1" fillId="0" borderId="2" xfId="0" applyNumberFormat="1" applyFont="1" applyBorder="1" applyAlignment="1">
      <alignment horizontal="right"/>
    </xf>
    <xf numFmtId="0" fontId="1" fillId="0" borderId="16" xfId="0" applyFont="1" applyFill="1" applyBorder="1"/>
    <xf numFmtId="0" fontId="10" fillId="3" borderId="2" xfId="3" applyFont="1" applyFill="1" applyBorder="1" applyAlignment="1">
      <alignment horizontal="center" wrapText="1"/>
    </xf>
    <xf numFmtId="0" fontId="1" fillId="0" borderId="2" xfId="0" applyFont="1" applyBorder="1" applyAlignment="1">
      <alignment vertical="center"/>
    </xf>
    <xf numFmtId="0" fontId="1" fillId="0" borderId="2" xfId="0" applyFont="1" applyBorder="1" applyAlignment="1">
      <alignment vertical="center" wrapText="1"/>
    </xf>
    <xf numFmtId="164" fontId="13" fillId="14" borderId="0" xfId="2" applyNumberFormat="1" applyFont="1" applyFill="1"/>
    <xf numFmtId="10" fontId="9" fillId="14" borderId="14" xfId="0" applyNumberFormat="1" applyFont="1" applyFill="1" applyBorder="1" applyAlignment="1">
      <alignment vertical="center"/>
    </xf>
    <xf numFmtId="10" fontId="9" fillId="14" borderId="2" xfId="0" applyNumberFormat="1" applyFont="1" applyFill="1" applyBorder="1" applyAlignment="1">
      <alignment vertical="center"/>
    </xf>
    <xf numFmtId="5" fontId="11" fillId="6" borderId="0" xfId="0" applyNumberFormat="1" applyFont="1" applyFill="1" applyAlignment="1">
      <alignment horizontal="center"/>
    </xf>
    <xf numFmtId="172" fontId="13" fillId="0" borderId="0" xfId="0" applyNumberFormat="1" applyFont="1"/>
    <xf numFmtId="0" fontId="1" fillId="5" borderId="0" xfId="0" applyFont="1" applyFill="1"/>
    <xf numFmtId="9" fontId="11" fillId="0" borderId="2" xfId="4" applyFont="1" applyFill="1" applyBorder="1"/>
    <xf numFmtId="9" fontId="11" fillId="0" borderId="2" xfId="3" applyNumberFormat="1" applyFont="1" applyFill="1" applyBorder="1"/>
    <xf numFmtId="173" fontId="0" fillId="0" borderId="0" xfId="0" applyNumberFormat="1"/>
    <xf numFmtId="9" fontId="0" fillId="0" borderId="0" xfId="8" applyFont="1"/>
    <xf numFmtId="0" fontId="23" fillId="6" borderId="0" xfId="0" applyFont="1" applyFill="1"/>
    <xf numFmtId="171" fontId="13" fillId="0" borderId="0" xfId="0" applyNumberFormat="1" applyFont="1" applyFill="1"/>
    <xf numFmtId="1" fontId="13" fillId="0" borderId="0" xfId="0" applyNumberFormat="1" applyFont="1" applyFill="1"/>
    <xf numFmtId="0" fontId="20" fillId="14" borderId="0" xfId="0" applyFont="1" applyFill="1"/>
    <xf numFmtId="9" fontId="1" fillId="0" borderId="2" xfId="0" applyNumberFormat="1" applyFont="1" applyBorder="1" applyAlignment="1">
      <alignment horizontal="center" vertical="center"/>
    </xf>
    <xf numFmtId="164" fontId="13" fillId="0" borderId="0" xfId="0" applyNumberFormat="1" applyFont="1"/>
    <xf numFmtId="5" fontId="15" fillId="0" borderId="0" xfId="0" applyNumberFormat="1" applyFont="1"/>
    <xf numFmtId="5" fontId="16" fillId="0" borderId="0" xfId="0" applyNumberFormat="1" applyFont="1"/>
    <xf numFmtId="173" fontId="13" fillId="0" borderId="0" xfId="0" applyNumberFormat="1" applyFont="1"/>
    <xf numFmtId="0" fontId="11" fillId="3" borderId="0" xfId="0" applyFont="1" applyFill="1" applyAlignment="1">
      <alignment horizontal="right" wrapText="1"/>
    </xf>
    <xf numFmtId="5" fontId="13" fillId="0" borderId="0" xfId="0" applyNumberFormat="1" applyFont="1" applyFill="1" applyAlignment="1">
      <alignment vertical="top"/>
    </xf>
    <xf numFmtId="5" fontId="1" fillId="0" borderId="0" xfId="0" applyNumberFormat="1" applyFont="1" applyFill="1" applyAlignment="1">
      <alignment vertical="top"/>
    </xf>
    <xf numFmtId="5" fontId="13" fillId="0" borderId="0" xfId="0" applyNumberFormat="1" applyFont="1" applyFill="1"/>
    <xf numFmtId="5" fontId="13" fillId="5" borderId="24" xfId="0" applyNumberFormat="1" applyFont="1" applyFill="1" applyBorder="1" applyAlignment="1">
      <alignment horizontal="center" vertical="center"/>
    </xf>
    <xf numFmtId="5" fontId="13" fillId="5" borderId="25" xfId="0" applyNumberFormat="1" applyFont="1" applyFill="1" applyBorder="1" applyAlignment="1">
      <alignment horizontal="center" vertical="center"/>
    </xf>
    <xf numFmtId="5" fontId="13" fillId="5" borderId="26" xfId="0" applyNumberFormat="1" applyFont="1" applyFill="1" applyBorder="1" applyAlignment="1">
      <alignment horizontal="center" vertical="center"/>
    </xf>
    <xf numFmtId="0" fontId="12" fillId="6" borderId="24" xfId="3" applyFont="1" applyFill="1" applyBorder="1" applyAlignment="1">
      <alignment horizontal="center" vertical="center" wrapText="1"/>
    </xf>
    <xf numFmtId="0" fontId="12" fillId="6" borderId="25" xfId="3" applyFont="1" applyFill="1" applyBorder="1" applyAlignment="1">
      <alignment horizontal="center" vertical="center" wrapText="1"/>
    </xf>
    <xf numFmtId="0" fontId="12" fillId="6" borderId="26" xfId="3" applyFont="1" applyFill="1" applyBorder="1" applyAlignment="1">
      <alignment horizontal="center" vertical="center" wrapText="1"/>
    </xf>
    <xf numFmtId="5" fontId="13" fillId="6" borderId="24" xfId="0" applyNumberFormat="1" applyFont="1" applyFill="1" applyBorder="1" applyAlignment="1">
      <alignment horizontal="center" vertical="center"/>
    </xf>
    <xf numFmtId="5" fontId="13" fillId="6" borderId="25" xfId="0" applyNumberFormat="1" applyFont="1" applyFill="1" applyBorder="1" applyAlignment="1">
      <alignment horizontal="center" vertical="center"/>
    </xf>
    <xf numFmtId="5" fontId="13" fillId="6" borderId="26" xfId="0" applyNumberFormat="1" applyFont="1" applyFill="1" applyBorder="1" applyAlignment="1">
      <alignment horizontal="center" vertical="center"/>
    </xf>
    <xf numFmtId="9" fontId="13" fillId="6" borderId="32" xfId="8" applyFont="1" applyFill="1" applyBorder="1" applyAlignment="1">
      <alignment horizontal="center" vertical="center"/>
    </xf>
    <xf numFmtId="9" fontId="13" fillId="6" borderId="33" xfId="8" applyFont="1" applyFill="1" applyBorder="1" applyAlignment="1">
      <alignment horizontal="center" vertical="center"/>
    </xf>
    <xf numFmtId="9" fontId="13" fillId="6" borderId="34" xfId="8" applyFont="1" applyFill="1" applyBorder="1" applyAlignment="1">
      <alignment horizontal="center" vertical="center"/>
    </xf>
    <xf numFmtId="0" fontId="12" fillId="5" borderId="24" xfId="3" applyFont="1" applyFill="1" applyBorder="1" applyAlignment="1">
      <alignment horizontal="center" vertical="center" wrapText="1"/>
    </xf>
    <xf numFmtId="0" fontId="12" fillId="5" borderId="25" xfId="3" applyFont="1" applyFill="1" applyBorder="1" applyAlignment="1">
      <alignment horizontal="center" vertical="center" wrapText="1"/>
    </xf>
    <xf numFmtId="0" fontId="12" fillId="5" borderId="26" xfId="3" applyFont="1" applyFill="1" applyBorder="1" applyAlignment="1">
      <alignment horizontal="center" vertical="center" wrapText="1"/>
    </xf>
    <xf numFmtId="9" fontId="13" fillId="5" borderId="32" xfId="8" applyFont="1" applyFill="1" applyBorder="1" applyAlignment="1">
      <alignment horizontal="center" vertical="center"/>
    </xf>
    <xf numFmtId="9" fontId="13" fillId="5" borderId="33" xfId="8" applyFont="1" applyFill="1" applyBorder="1" applyAlignment="1">
      <alignment horizontal="center" vertical="center"/>
    </xf>
    <xf numFmtId="9" fontId="13" fillId="5" borderId="34" xfId="8" applyFont="1" applyFill="1" applyBorder="1" applyAlignment="1">
      <alignment horizontal="center" vertical="center"/>
    </xf>
    <xf numFmtId="9" fontId="13" fillId="8" borderId="24" xfId="8" applyFont="1" applyFill="1" applyBorder="1" applyAlignment="1">
      <alignment horizontal="center" vertical="center" wrapText="1"/>
    </xf>
    <xf numFmtId="9" fontId="13" fillId="8" borderId="25" xfId="8" applyFont="1" applyFill="1" applyBorder="1" applyAlignment="1">
      <alignment horizontal="center" vertical="center" wrapText="1"/>
    </xf>
    <xf numFmtId="9" fontId="13" fillId="8" borderId="26" xfId="8" applyFont="1" applyFill="1" applyBorder="1" applyAlignment="1">
      <alignment horizontal="center" vertical="center" wrapText="1"/>
    </xf>
    <xf numFmtId="5" fontId="13" fillId="8" borderId="28" xfId="0" applyNumberFormat="1" applyFont="1" applyFill="1" applyBorder="1" applyAlignment="1">
      <alignment horizontal="center" vertical="center"/>
    </xf>
    <xf numFmtId="5" fontId="13" fillId="8" borderId="29" xfId="0" applyNumberFormat="1" applyFont="1" applyFill="1" applyBorder="1" applyAlignment="1">
      <alignment horizontal="center" vertical="center"/>
    </xf>
    <xf numFmtId="5" fontId="13" fillId="8" borderId="30" xfId="0" applyNumberFormat="1" applyFont="1" applyFill="1" applyBorder="1" applyAlignment="1">
      <alignment horizontal="center" vertical="center"/>
    </xf>
    <xf numFmtId="5" fontId="13" fillId="8" borderId="24" xfId="0" applyNumberFormat="1" applyFont="1" applyFill="1" applyBorder="1" applyAlignment="1">
      <alignment horizontal="center" vertical="center"/>
    </xf>
    <xf numFmtId="5" fontId="13" fillId="8" borderId="25" xfId="0" applyNumberFormat="1" applyFont="1" applyFill="1" applyBorder="1" applyAlignment="1">
      <alignment horizontal="center" vertical="center"/>
    </xf>
    <xf numFmtId="5" fontId="13" fillId="8" borderId="26" xfId="0" applyNumberFormat="1" applyFont="1" applyFill="1" applyBorder="1" applyAlignment="1">
      <alignment horizontal="center" vertical="center"/>
    </xf>
    <xf numFmtId="0" fontId="12" fillId="8" borderId="24" xfId="3" applyFont="1" applyFill="1" applyBorder="1" applyAlignment="1">
      <alignment horizontal="center" vertical="center" wrapText="1"/>
    </xf>
    <xf numFmtId="0" fontId="12" fillId="8" borderId="25" xfId="3" applyFont="1" applyFill="1" applyBorder="1" applyAlignment="1">
      <alignment horizontal="center" vertical="center" wrapText="1"/>
    </xf>
    <xf numFmtId="0" fontId="12" fillId="8" borderId="26" xfId="3" applyFont="1" applyFill="1" applyBorder="1" applyAlignment="1">
      <alignment horizontal="center" vertical="center" wrapText="1"/>
    </xf>
    <xf numFmtId="9" fontId="13" fillId="8" borderId="32" xfId="8" applyFont="1" applyFill="1" applyBorder="1" applyAlignment="1">
      <alignment horizontal="center" vertical="center" wrapText="1"/>
    </xf>
    <xf numFmtId="9" fontId="13" fillId="8" borderId="33" xfId="8" applyFont="1" applyFill="1" applyBorder="1" applyAlignment="1">
      <alignment horizontal="center" vertical="center" wrapText="1"/>
    </xf>
    <xf numFmtId="9" fontId="13" fillId="8" borderId="34" xfId="8" applyFont="1" applyFill="1" applyBorder="1" applyAlignment="1">
      <alignment horizontal="center" vertical="center" wrapText="1"/>
    </xf>
    <xf numFmtId="5" fontId="13" fillId="8" borderId="8" xfId="0" applyNumberFormat="1" applyFont="1" applyFill="1" applyBorder="1" applyAlignment="1">
      <alignment horizontal="center" vertical="center"/>
    </xf>
    <xf numFmtId="5" fontId="13" fillId="8" borderId="9" xfId="0" applyNumberFormat="1" applyFont="1" applyFill="1" applyBorder="1" applyAlignment="1">
      <alignment horizontal="center" vertical="center"/>
    </xf>
    <xf numFmtId="5" fontId="13" fillId="8" borderId="12" xfId="0" applyNumberFormat="1" applyFont="1" applyFill="1" applyBorder="1" applyAlignment="1">
      <alignment horizontal="center" vertical="center"/>
    </xf>
    <xf numFmtId="9" fontId="13" fillId="6" borderId="24" xfId="8" applyFont="1" applyFill="1" applyBorder="1" applyAlignment="1">
      <alignment horizontal="center" vertical="center"/>
    </xf>
    <xf numFmtId="9" fontId="13" fillId="6" borderId="25" xfId="8" applyFont="1" applyFill="1" applyBorder="1" applyAlignment="1">
      <alignment horizontal="center" vertical="center"/>
    </xf>
    <xf numFmtId="9" fontId="13" fillId="6" borderId="26" xfId="8" applyFont="1" applyFill="1" applyBorder="1" applyAlignment="1">
      <alignment horizontal="center" vertical="center"/>
    </xf>
    <xf numFmtId="9" fontId="13" fillId="5" borderId="24" xfId="8" applyFont="1" applyFill="1" applyBorder="1" applyAlignment="1">
      <alignment horizontal="center" vertical="center"/>
    </xf>
    <xf numFmtId="9" fontId="13" fillId="5" borderId="25" xfId="8" applyFont="1" applyFill="1" applyBorder="1" applyAlignment="1">
      <alignment horizontal="center" vertical="center"/>
    </xf>
    <xf numFmtId="9" fontId="13" fillId="5" borderId="26" xfId="8" applyFont="1" applyFill="1" applyBorder="1" applyAlignment="1">
      <alignment horizontal="center" vertical="center"/>
    </xf>
    <xf numFmtId="5" fontId="13" fillId="5" borderId="8" xfId="0" applyNumberFormat="1" applyFont="1" applyFill="1" applyBorder="1" applyAlignment="1">
      <alignment horizontal="center" vertical="center"/>
    </xf>
    <xf numFmtId="5" fontId="13" fillId="5" borderId="9" xfId="0" applyNumberFormat="1" applyFont="1" applyFill="1" applyBorder="1" applyAlignment="1">
      <alignment horizontal="center" vertical="center"/>
    </xf>
    <xf numFmtId="5" fontId="13" fillId="5" borderId="12" xfId="0" applyNumberFormat="1" applyFont="1" applyFill="1" applyBorder="1" applyAlignment="1">
      <alignment horizontal="center" vertical="center"/>
    </xf>
    <xf numFmtId="5" fontId="13" fillId="6" borderId="8" xfId="0" applyNumberFormat="1" applyFont="1" applyFill="1" applyBorder="1" applyAlignment="1">
      <alignment horizontal="center" vertical="center"/>
    </xf>
    <xf numFmtId="5" fontId="13" fillId="6" borderId="9" xfId="0" applyNumberFormat="1" applyFont="1" applyFill="1" applyBorder="1" applyAlignment="1">
      <alignment horizontal="center" vertical="center"/>
    </xf>
    <xf numFmtId="5" fontId="13" fillId="6" borderId="12" xfId="0" applyNumberFormat="1" applyFont="1" applyFill="1" applyBorder="1" applyAlignment="1">
      <alignment horizontal="center" vertical="center"/>
    </xf>
    <xf numFmtId="5" fontId="13" fillId="5" borderId="28" xfId="0" applyNumberFormat="1" applyFont="1" applyFill="1" applyBorder="1" applyAlignment="1">
      <alignment horizontal="center" vertical="center"/>
    </xf>
    <xf numFmtId="5" fontId="13" fillId="5" borderId="29" xfId="0" applyNumberFormat="1" applyFont="1" applyFill="1" applyBorder="1" applyAlignment="1">
      <alignment horizontal="center" vertical="center"/>
    </xf>
    <xf numFmtId="5" fontId="13" fillId="5" borderId="30" xfId="0" applyNumberFormat="1"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0" fillId="0" borderId="0" xfId="0" applyAlignment="1">
      <alignment horizontal="center"/>
    </xf>
    <xf numFmtId="0" fontId="10" fillId="3" borderId="10" xfId="3" applyFont="1" applyFill="1" applyBorder="1" applyAlignment="1">
      <alignment horizontal="center" vertical="center" wrapText="1"/>
    </xf>
    <xf numFmtId="0" fontId="10" fillId="3" borderId="11" xfId="3" applyFont="1" applyFill="1" applyBorder="1" applyAlignment="1">
      <alignment horizontal="center" vertical="center" wrapText="1"/>
    </xf>
    <xf numFmtId="0" fontId="10" fillId="3" borderId="31" xfId="3" applyFont="1" applyFill="1" applyBorder="1" applyAlignment="1">
      <alignment horizontal="center" vertical="center" wrapText="1"/>
    </xf>
    <xf numFmtId="0" fontId="10" fillId="3" borderId="35" xfId="3" applyFont="1" applyFill="1" applyBorder="1" applyAlignment="1">
      <alignment horizontal="center" vertical="center" wrapText="1"/>
    </xf>
    <xf numFmtId="5" fontId="13" fillId="6" borderId="28" xfId="0" applyNumberFormat="1" applyFont="1" applyFill="1" applyBorder="1" applyAlignment="1">
      <alignment horizontal="center" vertical="center"/>
    </xf>
    <xf numFmtId="5" fontId="13" fillId="6" borderId="29" xfId="0" applyNumberFormat="1" applyFont="1" applyFill="1" applyBorder="1" applyAlignment="1">
      <alignment horizontal="center" vertical="center"/>
    </xf>
    <xf numFmtId="5" fontId="13" fillId="6" borderId="30" xfId="0" applyNumberFormat="1" applyFont="1" applyFill="1" applyBorder="1" applyAlignment="1">
      <alignment horizontal="center" vertical="center"/>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1" xfId="0" applyFont="1" applyFill="1" applyBorder="1" applyAlignment="1">
      <alignment horizontal="center" wrapText="1"/>
    </xf>
    <xf numFmtId="0" fontId="17" fillId="5" borderId="0" xfId="0" applyFont="1" applyFill="1" applyAlignment="1">
      <alignment horizontal="center"/>
    </xf>
    <xf numFmtId="0" fontId="16" fillId="3" borderId="10" xfId="0"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6" fillId="3" borderId="47" xfId="0" applyFont="1" applyFill="1" applyBorder="1" applyAlignment="1">
      <alignment horizontal="center"/>
    </xf>
    <xf numFmtId="5" fontId="13" fillId="18" borderId="3" xfId="0" applyNumberFormat="1" applyFont="1" applyFill="1" applyBorder="1" applyAlignment="1">
      <alignment horizontal="center" vertical="center"/>
    </xf>
    <xf numFmtId="5" fontId="13" fillId="18" borderId="4" xfId="0" applyNumberFormat="1" applyFont="1" applyFill="1" applyBorder="1" applyAlignment="1">
      <alignment horizontal="center" vertical="center"/>
    </xf>
    <xf numFmtId="5" fontId="13" fillId="18" borderId="1" xfId="0" applyNumberFormat="1" applyFont="1" applyFill="1" applyBorder="1" applyAlignment="1">
      <alignment horizontal="center" vertical="center"/>
    </xf>
    <xf numFmtId="0" fontId="10" fillId="3" borderId="2" xfId="3" applyFont="1" applyFill="1" applyBorder="1" applyAlignment="1">
      <alignment horizontal="center" wrapText="1"/>
    </xf>
    <xf numFmtId="5" fontId="1" fillId="14" borderId="3" xfId="0" applyNumberFormat="1" applyFont="1" applyFill="1" applyBorder="1" applyAlignment="1">
      <alignment horizontal="left" vertical="center" wrapText="1"/>
    </xf>
    <xf numFmtId="5" fontId="13" fillId="14" borderId="4" xfId="0" applyNumberFormat="1" applyFont="1" applyFill="1" applyBorder="1" applyAlignment="1">
      <alignment horizontal="left" vertical="center" wrapText="1"/>
    </xf>
    <xf numFmtId="5" fontId="13" fillId="14" borderId="1" xfId="0" applyNumberFormat="1" applyFont="1" applyFill="1" applyBorder="1" applyAlignment="1">
      <alignment horizontal="left" vertical="center" wrapText="1"/>
    </xf>
    <xf numFmtId="0" fontId="16" fillId="13" borderId="36"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16" fillId="13" borderId="18" xfId="0" applyFont="1" applyFill="1" applyBorder="1" applyAlignment="1">
      <alignment horizontal="center" vertical="center" wrapText="1"/>
    </xf>
    <xf numFmtId="0" fontId="16" fillId="13" borderId="3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41" xfId="0" applyFont="1" applyFill="1" applyBorder="1" applyAlignment="1">
      <alignment horizontal="center" vertical="center" wrapText="1"/>
    </xf>
    <xf numFmtId="0" fontId="16" fillId="13" borderId="38" xfId="0" applyFont="1" applyFill="1" applyBorder="1" applyAlignment="1">
      <alignment horizontal="center" vertical="center" wrapText="1"/>
    </xf>
    <xf numFmtId="0" fontId="16" fillId="13" borderId="39" xfId="0" applyFont="1" applyFill="1" applyBorder="1" applyAlignment="1">
      <alignment horizontal="center" vertical="center" wrapText="1"/>
    </xf>
    <xf numFmtId="0" fontId="13" fillId="11" borderId="3" xfId="0" applyFont="1" applyFill="1" applyBorder="1" applyAlignment="1">
      <alignment horizontal="center"/>
    </xf>
    <xf numFmtId="0" fontId="13" fillId="11" borderId="4" xfId="0" applyFont="1" applyFill="1" applyBorder="1" applyAlignment="1">
      <alignment horizontal="center"/>
    </xf>
    <xf numFmtId="0" fontId="13" fillId="11" borderId="1" xfId="0" applyFont="1" applyFill="1" applyBorder="1" applyAlignment="1">
      <alignment horizontal="center"/>
    </xf>
  </cellXfs>
  <cellStyles count="17">
    <cellStyle name="Comma" xfId="7" builtinId="3"/>
    <cellStyle name="Comma 2" xfId="6"/>
    <cellStyle name="Currency" xfId="1" builtinId="4"/>
    <cellStyle name="Currency 2" xfId="2"/>
    <cellStyle name="Followed Hyperlink" xfId="10" builtinId="9" hidden="1"/>
    <cellStyle name="Followed Hyperlink" xfId="12" builtinId="9" hidden="1"/>
    <cellStyle name="Followed Hyperlink" xfId="14" builtinId="9" hidden="1"/>
    <cellStyle name="Followed Hyperlink" xfId="16" builtinId="9" hidden="1"/>
    <cellStyle name="Hyperlink" xfId="9" builtinId="8" hidden="1"/>
    <cellStyle name="Hyperlink" xfId="11" builtinId="8" hidden="1"/>
    <cellStyle name="Hyperlink" xfId="13" builtinId="8" hidden="1"/>
    <cellStyle name="Hyperlink" xfId="15" builtinId="8" hidden="1"/>
    <cellStyle name="Normal" xfId="0" builtinId="0"/>
    <cellStyle name="Normal 2" xfId="3"/>
    <cellStyle name="Percent" xfId="8" builtinId="5"/>
    <cellStyle name="Percent 2" xfId="4"/>
    <cellStyle name="Percent 3" xfId="5"/>
  </cellStyles>
  <dxfs count="2">
    <dxf>
      <font>
        <color rgb="FF00B050"/>
      </font>
    </dxf>
    <dxf>
      <font>
        <color rgb="FFC00000"/>
      </font>
      <fill>
        <patternFill>
          <bgColor theme="5" tint="0.79998168889431442"/>
        </patternFill>
      </fill>
    </dxf>
  </dxfs>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3-Year</a:t>
            </a:r>
            <a:r>
              <a:rPr lang="en-US" baseline="0"/>
              <a:t> </a:t>
            </a:r>
            <a:r>
              <a:rPr lang="en-US"/>
              <a:t>RTF Budgets (not including Council In-Kind Contribution)</a:t>
            </a:r>
          </a:p>
        </c:rich>
      </c:tx>
      <c:layout/>
    </c:title>
    <c:plotArea>
      <c:layout>
        <c:manualLayout>
          <c:layoutTarget val="inner"/>
          <c:xMode val="edge"/>
          <c:yMode val="edge"/>
          <c:x val="0.137627267759351"/>
          <c:y val="8.3099146931624748E-2"/>
          <c:w val="0.45046647143673302"/>
          <c:h val="0.81368701383404562"/>
        </c:manualLayout>
      </c:layout>
      <c:barChart>
        <c:barDir val="col"/>
        <c:grouping val="stacked"/>
        <c:ser>
          <c:idx val="8"/>
          <c:order val="0"/>
          <c:tx>
            <c:strRef>
              <c:f>'Category (2016)'!$B$14</c:f>
              <c:strCache>
                <c:ptCount val="1"/>
                <c:pt idx="0">
                  <c:v>RTF Management</c:v>
                </c:pt>
              </c:strCache>
            </c:strRef>
          </c:tx>
          <c:cat>
            <c:strRef>
              <c:f>('Category (2016)'!$Q$4,'Category (2016)'!$J$4,'Category (2016)'!$C$4)</c:f>
              <c:strCache>
                <c:ptCount val="3"/>
                <c:pt idx="0">
                  <c:v>Approved 2014</c:v>
                </c:pt>
                <c:pt idx="1">
                  <c:v>Approved 2015</c:v>
                </c:pt>
                <c:pt idx="2">
                  <c:v>Approved 2016</c:v>
                </c:pt>
              </c:strCache>
            </c:strRef>
          </c:cat>
          <c:val>
            <c:numRef>
              <c:f>('Category (2016)'!$S$14,'Category (2016)'!$M$14,'Category (2016)'!$F$14)</c:f>
              <c:numCache>
                <c:formatCode>"$"#,##0_);\("$"#,##0\)</c:formatCode>
                <c:ptCount val="3"/>
                <c:pt idx="0">
                  <c:v>200000</c:v>
                </c:pt>
                <c:pt idx="1">
                  <c:v>133300</c:v>
                </c:pt>
                <c:pt idx="2">
                  <c:v>143300</c:v>
                </c:pt>
              </c:numCache>
            </c:numRef>
          </c:val>
        </c:ser>
        <c:ser>
          <c:idx val="7"/>
          <c:order val="1"/>
          <c:tx>
            <c:strRef>
              <c:f>'Category (2016)'!$B$13</c:f>
              <c:strCache>
                <c:ptCount val="1"/>
                <c:pt idx="0">
                  <c:v>RTF Member Support &amp; Administration</c:v>
                </c:pt>
              </c:strCache>
            </c:strRef>
          </c:tx>
          <c:cat>
            <c:strRef>
              <c:f>('Category (2016)'!$Q$4,'Category (2016)'!$J$4,'Category (2016)'!$C$4)</c:f>
              <c:strCache>
                <c:ptCount val="3"/>
                <c:pt idx="0">
                  <c:v>Approved 2014</c:v>
                </c:pt>
                <c:pt idx="1">
                  <c:v>Approved 2015</c:v>
                </c:pt>
                <c:pt idx="2">
                  <c:v>Approved 2016</c:v>
                </c:pt>
              </c:strCache>
            </c:strRef>
          </c:cat>
          <c:val>
            <c:numRef>
              <c:f>('Category (2016)'!$S$13,'Category (2016)'!$M$13,'Category (2016)'!$F$13)</c:f>
              <c:numCache>
                <c:formatCode>"$"#,##0_);\("$"#,##0\)</c:formatCode>
                <c:ptCount val="3"/>
                <c:pt idx="0">
                  <c:v>145000</c:v>
                </c:pt>
                <c:pt idx="1">
                  <c:v>146800</c:v>
                </c:pt>
                <c:pt idx="2">
                  <c:v>234200</c:v>
                </c:pt>
              </c:numCache>
            </c:numRef>
          </c:val>
        </c:ser>
        <c:ser>
          <c:idx val="6"/>
          <c:order val="2"/>
          <c:tx>
            <c:strRef>
              <c:f>'Category (2016)'!$B$12</c:f>
              <c:strCache>
                <c:ptCount val="1"/>
                <c:pt idx="0">
                  <c:v>Website, Database support, Conservation Tracking </c:v>
                </c:pt>
              </c:strCache>
            </c:strRef>
          </c:tx>
          <c:cat>
            <c:strRef>
              <c:f>('Category (2016)'!$Q$4,'Category (2016)'!$J$4,'Category (2016)'!$C$4)</c:f>
              <c:strCache>
                <c:ptCount val="3"/>
                <c:pt idx="0">
                  <c:v>Approved 2014</c:v>
                </c:pt>
                <c:pt idx="1">
                  <c:v>Approved 2015</c:v>
                </c:pt>
                <c:pt idx="2">
                  <c:v>Approved 2016</c:v>
                </c:pt>
              </c:strCache>
            </c:strRef>
          </c:cat>
          <c:val>
            <c:numRef>
              <c:f>('Category (2016)'!$S$12,'Category (2016)'!$M$12,'Category (2016)'!$F$12)</c:f>
              <c:numCache>
                <c:formatCode>"$"#,##0_);\("$"#,##0\)</c:formatCode>
                <c:ptCount val="3"/>
                <c:pt idx="0">
                  <c:v>65000</c:v>
                </c:pt>
                <c:pt idx="1">
                  <c:v>40000</c:v>
                </c:pt>
                <c:pt idx="2">
                  <c:v>80000</c:v>
                </c:pt>
              </c:numCache>
            </c:numRef>
          </c:val>
        </c:ser>
        <c:ser>
          <c:idx val="5"/>
          <c:order val="3"/>
          <c:tx>
            <c:strRef>
              <c:f>'Category (2016)'!$B$11</c:f>
              <c:strCache>
                <c:ptCount val="1"/>
                <c:pt idx="0">
                  <c:v>Regional Coordination (Research and Data Development)</c:v>
                </c:pt>
              </c:strCache>
            </c:strRef>
          </c:tx>
          <c:cat>
            <c:strRef>
              <c:f>('Category (2016)'!$Q$4,'Category (2016)'!$J$4,'Category (2016)'!$C$4)</c:f>
              <c:strCache>
                <c:ptCount val="3"/>
                <c:pt idx="0">
                  <c:v>Approved 2014</c:v>
                </c:pt>
                <c:pt idx="1">
                  <c:v>Approved 2015</c:v>
                </c:pt>
                <c:pt idx="2">
                  <c:v>Approved 2016</c:v>
                </c:pt>
              </c:strCache>
            </c:strRef>
          </c:cat>
          <c:val>
            <c:numRef>
              <c:f>('Category (2016)'!$S$11,'Category (2016)'!$M$11,'Category (2016)'!$F$11)</c:f>
              <c:numCache>
                <c:formatCode>"$"#,##0_);\("$"#,##0\)</c:formatCode>
                <c:ptCount val="3"/>
                <c:pt idx="0">
                  <c:v>18500</c:v>
                </c:pt>
                <c:pt idx="1">
                  <c:v>137500</c:v>
                </c:pt>
                <c:pt idx="2">
                  <c:v>150000</c:v>
                </c:pt>
              </c:numCache>
            </c:numRef>
          </c:val>
        </c:ser>
        <c:ser>
          <c:idx val="4"/>
          <c:order val="4"/>
          <c:tx>
            <c:strRef>
              <c:f>'Category (2016)'!$B$10</c:f>
              <c:strCache>
                <c:ptCount val="1"/>
                <c:pt idx="0">
                  <c:v>Research Projects &amp; Data Development</c:v>
                </c:pt>
              </c:strCache>
            </c:strRef>
          </c:tx>
          <c:cat>
            <c:strRef>
              <c:f>('Category (2016)'!$Q$4,'Category (2016)'!$J$4,'Category (2016)'!$C$4)</c:f>
              <c:strCache>
                <c:ptCount val="3"/>
                <c:pt idx="0">
                  <c:v>Approved 2014</c:v>
                </c:pt>
                <c:pt idx="1">
                  <c:v>Approved 2015</c:v>
                </c:pt>
                <c:pt idx="2">
                  <c:v>Approved 2016</c:v>
                </c:pt>
              </c:strCache>
            </c:strRef>
          </c:cat>
          <c:val>
            <c:numRef>
              <c:f>('Category (2016)'!$S$10,'Category (2016)'!$M$10,'Category (2016)'!$F$10)</c:f>
              <c:numCache>
                <c:formatCode>"$"#,##0_);\("$"#,##0\)</c:formatCode>
                <c:ptCount val="3"/>
                <c:pt idx="0">
                  <c:v>120000</c:v>
                </c:pt>
                <c:pt idx="1">
                  <c:v>40000</c:v>
                </c:pt>
                <c:pt idx="2">
                  <c:v>0</c:v>
                </c:pt>
              </c:numCache>
            </c:numRef>
          </c:val>
        </c:ser>
        <c:ser>
          <c:idx val="3"/>
          <c:order val="5"/>
          <c:tx>
            <c:strRef>
              <c:f>'Category (2016)'!$B$9</c:f>
              <c:strCache>
                <c:ptCount val="1"/>
                <c:pt idx="0">
                  <c:v>Tool Development</c:v>
                </c:pt>
              </c:strCache>
            </c:strRef>
          </c:tx>
          <c:cat>
            <c:strRef>
              <c:f>('Category (2016)'!$Q$4,'Category (2016)'!$J$4,'Category (2016)'!$C$4)</c:f>
              <c:strCache>
                <c:ptCount val="3"/>
                <c:pt idx="0">
                  <c:v>Approved 2014</c:v>
                </c:pt>
                <c:pt idx="1">
                  <c:v>Approved 2015</c:v>
                </c:pt>
                <c:pt idx="2">
                  <c:v>Approved 2016</c:v>
                </c:pt>
              </c:strCache>
            </c:strRef>
          </c:cat>
          <c:val>
            <c:numRef>
              <c:f>('Category (2016)'!$S$9,'Category (2016)'!$M$9,'Category (2016)'!$F$9)</c:f>
              <c:numCache>
                <c:formatCode>"$"#,##0_);\("$"#,##0\)</c:formatCode>
                <c:ptCount val="3"/>
                <c:pt idx="0">
                  <c:v>185000</c:v>
                </c:pt>
                <c:pt idx="1">
                  <c:v>90500</c:v>
                </c:pt>
                <c:pt idx="2">
                  <c:v>70000</c:v>
                </c:pt>
              </c:numCache>
            </c:numRef>
          </c:val>
        </c:ser>
        <c:ser>
          <c:idx val="0"/>
          <c:order val="6"/>
          <c:tx>
            <c:strRef>
              <c:f>'Category (2016)'!$B$8</c:f>
              <c:strCache>
                <c:ptCount val="1"/>
                <c:pt idx="0">
                  <c:v>Standardization of Technical Analysis</c:v>
                </c:pt>
              </c:strCache>
            </c:strRef>
          </c:tx>
          <c:cat>
            <c:strRef>
              <c:f>('Category (2016)'!$Q$4,'Category (2016)'!$J$4,'Category (2016)'!$C$4)</c:f>
              <c:strCache>
                <c:ptCount val="3"/>
                <c:pt idx="0">
                  <c:v>Approved 2014</c:v>
                </c:pt>
                <c:pt idx="1">
                  <c:v>Approved 2015</c:v>
                </c:pt>
                <c:pt idx="2">
                  <c:v>Approved 2016</c:v>
                </c:pt>
              </c:strCache>
            </c:strRef>
          </c:cat>
          <c:val>
            <c:numRef>
              <c:f>('Category (2016)'!$S$8,'Category (2016)'!$M$8,'Category (2016)'!$F$8)</c:f>
              <c:numCache>
                <c:formatCode>"$"#,##0_);\("$"#,##0\)</c:formatCode>
                <c:ptCount val="3"/>
                <c:pt idx="0">
                  <c:v>59000</c:v>
                </c:pt>
                <c:pt idx="1">
                  <c:v>109000</c:v>
                </c:pt>
                <c:pt idx="2">
                  <c:v>205000</c:v>
                </c:pt>
              </c:numCache>
            </c:numRef>
          </c:val>
        </c:ser>
        <c:ser>
          <c:idx val="1"/>
          <c:order val="7"/>
          <c:tx>
            <c:strRef>
              <c:f>'Category (2016)'!$B$7</c:f>
              <c:strCache>
                <c:ptCount val="1"/>
                <c:pt idx="0">
                  <c:v>New Measure Development &amp; Review of Unsolicited Proposals</c:v>
                </c:pt>
              </c:strCache>
            </c:strRef>
          </c:tx>
          <c:cat>
            <c:strRef>
              <c:f>('Category (2016)'!$Q$4,'Category (2016)'!$J$4,'Category (2016)'!$C$4)</c:f>
              <c:strCache>
                <c:ptCount val="3"/>
                <c:pt idx="0">
                  <c:v>Approved 2014</c:v>
                </c:pt>
                <c:pt idx="1">
                  <c:v>Approved 2015</c:v>
                </c:pt>
                <c:pt idx="2">
                  <c:v>Approved 2016</c:v>
                </c:pt>
              </c:strCache>
            </c:strRef>
          </c:cat>
          <c:val>
            <c:numRef>
              <c:f>('Category (2016)'!$S$7,'Category (2016)'!$M$7,'Category (2016)'!$F$7)</c:f>
              <c:numCache>
                <c:formatCode>"$"#,##0_);\("$"#,##0\)</c:formatCode>
                <c:ptCount val="3"/>
                <c:pt idx="0">
                  <c:v>205000</c:v>
                </c:pt>
                <c:pt idx="1">
                  <c:v>400000</c:v>
                </c:pt>
                <c:pt idx="2">
                  <c:v>328000</c:v>
                </c:pt>
              </c:numCache>
            </c:numRef>
          </c:val>
        </c:ser>
        <c:ser>
          <c:idx val="2"/>
          <c:order val="8"/>
          <c:tx>
            <c:strRef>
              <c:f>'Category (2016)'!$B$6</c:f>
              <c:strCache>
                <c:ptCount val="1"/>
                <c:pt idx="0">
                  <c:v>Existing Measure Review &amp; Updates</c:v>
                </c:pt>
              </c:strCache>
            </c:strRef>
          </c:tx>
          <c:cat>
            <c:strRef>
              <c:f>('Category (2016)'!$Q$4,'Category (2016)'!$J$4,'Category (2016)'!$C$4)</c:f>
              <c:strCache>
                <c:ptCount val="3"/>
                <c:pt idx="0">
                  <c:v>Approved 2014</c:v>
                </c:pt>
                <c:pt idx="1">
                  <c:v>Approved 2015</c:v>
                </c:pt>
                <c:pt idx="2">
                  <c:v>Approved 2016</c:v>
                </c:pt>
              </c:strCache>
            </c:strRef>
          </c:cat>
          <c:val>
            <c:numRef>
              <c:f>('Category (2016)'!$S$6,'Category (2016)'!$M$6,'Category (2016)'!$F$6)</c:f>
              <c:numCache>
                <c:formatCode>"$"#,##0_);\("$"#,##0\)</c:formatCode>
                <c:ptCount val="3"/>
                <c:pt idx="0">
                  <c:v>475500</c:v>
                </c:pt>
                <c:pt idx="1">
                  <c:v>540500</c:v>
                </c:pt>
                <c:pt idx="2">
                  <c:v>452500</c:v>
                </c:pt>
              </c:numCache>
            </c:numRef>
          </c:val>
        </c:ser>
        <c:gapWidth val="27"/>
        <c:overlap val="100"/>
        <c:axId val="57548800"/>
        <c:axId val="57550336"/>
      </c:barChart>
      <c:catAx>
        <c:axId val="57548800"/>
        <c:scaling>
          <c:orientation val="minMax"/>
        </c:scaling>
        <c:axPos val="b"/>
        <c:numFmt formatCode="General" sourceLinked="1"/>
        <c:tickLblPos val="nextTo"/>
        <c:txPr>
          <a:bodyPr/>
          <a:lstStyle/>
          <a:p>
            <a:pPr>
              <a:defRPr sz="1800" b="1"/>
            </a:pPr>
            <a:endParaRPr lang="en-US"/>
          </a:p>
        </c:txPr>
        <c:crossAx val="57550336"/>
        <c:crosses val="autoZero"/>
        <c:auto val="1"/>
        <c:lblAlgn val="ctr"/>
        <c:lblOffset val="100"/>
      </c:catAx>
      <c:valAx>
        <c:axId val="57550336"/>
        <c:scaling>
          <c:orientation val="minMax"/>
        </c:scaling>
        <c:axPos val="l"/>
        <c:numFmt formatCode="&quot;$&quot;#,##0_);\(&quot;$&quot;#,##0\)" sourceLinked="1"/>
        <c:tickLblPos val="nextTo"/>
        <c:txPr>
          <a:bodyPr/>
          <a:lstStyle/>
          <a:p>
            <a:pPr>
              <a:defRPr sz="1200"/>
            </a:pPr>
            <a:endParaRPr lang="en-US"/>
          </a:p>
        </c:txPr>
        <c:crossAx val="57548800"/>
        <c:crosses val="autoZero"/>
        <c:crossBetween val="between"/>
      </c:valAx>
    </c:plotArea>
    <c:legend>
      <c:legendPos val="r"/>
      <c:layout>
        <c:manualLayout>
          <c:xMode val="edge"/>
          <c:yMode val="edge"/>
          <c:x val="0.67786400441933559"/>
          <c:y val="0.17298899640971704"/>
          <c:w val="0.30870079421776886"/>
          <c:h val="0.72488254330810165"/>
        </c:manualLayout>
      </c:layout>
      <c:txPr>
        <a:bodyPr/>
        <a:lstStyle/>
        <a:p>
          <a:pPr>
            <a:defRPr sz="1400"/>
          </a:pPr>
          <a:endParaRPr lang="en-US"/>
        </a:p>
      </c:txPr>
    </c:legend>
    <c:plotVisOnly val="1"/>
    <c:dispBlanksAs val="gap"/>
  </c:chart>
  <c:printSettings>
    <c:headerFooter/>
    <c:pageMargins b="0.7500000000000131" l="0.70000000000000162" r="0.700000000000001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2-Year</a:t>
            </a:r>
            <a:r>
              <a:rPr lang="en-US" baseline="0"/>
              <a:t> </a:t>
            </a:r>
            <a:r>
              <a:rPr lang="en-US"/>
              <a:t>RTF Budgets (not including Council In-Kind Contribution)</a:t>
            </a:r>
          </a:p>
        </c:rich>
      </c:tx>
      <c:layout/>
    </c:title>
    <c:plotArea>
      <c:layout>
        <c:manualLayout>
          <c:layoutTarget val="inner"/>
          <c:xMode val="edge"/>
          <c:yMode val="edge"/>
          <c:x val="0.137627267759351"/>
          <c:y val="8.3099146931624748E-2"/>
          <c:w val="0.45046647143673302"/>
          <c:h val="0.81368701383404562"/>
        </c:manualLayout>
      </c:layout>
      <c:barChart>
        <c:barDir val="col"/>
        <c:grouping val="stacked"/>
        <c:ser>
          <c:idx val="8"/>
          <c:order val="0"/>
          <c:tx>
            <c:strRef>
              <c:f>'Category (2016)'!$B$14</c:f>
              <c:strCache>
                <c:ptCount val="1"/>
                <c:pt idx="0">
                  <c:v>RTF Management</c:v>
                </c:pt>
              </c:strCache>
            </c:strRef>
          </c:tx>
          <c:cat>
            <c:strRef>
              <c:f>('Category (2016)'!$J$4,'Category (2016)'!$C$4)</c:f>
              <c:strCache>
                <c:ptCount val="2"/>
                <c:pt idx="0">
                  <c:v>Approved 2015</c:v>
                </c:pt>
                <c:pt idx="1">
                  <c:v>Approved 2016</c:v>
                </c:pt>
              </c:strCache>
            </c:strRef>
          </c:cat>
          <c:val>
            <c:numRef>
              <c:f>('Category (2016)'!$M$14,'Category (2016)'!$F$14)</c:f>
              <c:numCache>
                <c:formatCode>"$"#,##0_);\("$"#,##0\)</c:formatCode>
                <c:ptCount val="2"/>
                <c:pt idx="0">
                  <c:v>133300</c:v>
                </c:pt>
                <c:pt idx="1">
                  <c:v>143300</c:v>
                </c:pt>
              </c:numCache>
            </c:numRef>
          </c:val>
        </c:ser>
        <c:ser>
          <c:idx val="7"/>
          <c:order val="1"/>
          <c:tx>
            <c:strRef>
              <c:f>'Category (2016)'!$B$13</c:f>
              <c:strCache>
                <c:ptCount val="1"/>
                <c:pt idx="0">
                  <c:v>RTF Member Support &amp; Administration</c:v>
                </c:pt>
              </c:strCache>
            </c:strRef>
          </c:tx>
          <c:cat>
            <c:strRef>
              <c:f>('Category (2016)'!$J$4,'Category (2016)'!$C$4)</c:f>
              <c:strCache>
                <c:ptCount val="2"/>
                <c:pt idx="0">
                  <c:v>Approved 2015</c:v>
                </c:pt>
                <c:pt idx="1">
                  <c:v>Approved 2016</c:v>
                </c:pt>
              </c:strCache>
            </c:strRef>
          </c:cat>
          <c:val>
            <c:numRef>
              <c:f>('Category (2016)'!$M$13,'Category (2016)'!$F$13)</c:f>
              <c:numCache>
                <c:formatCode>"$"#,##0_);\("$"#,##0\)</c:formatCode>
                <c:ptCount val="2"/>
                <c:pt idx="0">
                  <c:v>146800</c:v>
                </c:pt>
                <c:pt idx="1">
                  <c:v>234200</c:v>
                </c:pt>
              </c:numCache>
            </c:numRef>
          </c:val>
        </c:ser>
        <c:ser>
          <c:idx val="6"/>
          <c:order val="2"/>
          <c:tx>
            <c:strRef>
              <c:f>'Category (2016)'!$B$12</c:f>
              <c:strCache>
                <c:ptCount val="1"/>
                <c:pt idx="0">
                  <c:v>Website, Database support, Conservation Tracking </c:v>
                </c:pt>
              </c:strCache>
            </c:strRef>
          </c:tx>
          <c:cat>
            <c:strRef>
              <c:f>('Category (2016)'!$J$4,'Category (2016)'!$C$4)</c:f>
              <c:strCache>
                <c:ptCount val="2"/>
                <c:pt idx="0">
                  <c:v>Approved 2015</c:v>
                </c:pt>
                <c:pt idx="1">
                  <c:v>Approved 2016</c:v>
                </c:pt>
              </c:strCache>
            </c:strRef>
          </c:cat>
          <c:val>
            <c:numRef>
              <c:f>('Category (2016)'!$M$12,'Category (2016)'!$F$12)</c:f>
              <c:numCache>
                <c:formatCode>"$"#,##0_);\("$"#,##0\)</c:formatCode>
                <c:ptCount val="2"/>
                <c:pt idx="0">
                  <c:v>40000</c:v>
                </c:pt>
                <c:pt idx="1">
                  <c:v>80000</c:v>
                </c:pt>
              </c:numCache>
            </c:numRef>
          </c:val>
        </c:ser>
        <c:ser>
          <c:idx val="5"/>
          <c:order val="3"/>
          <c:tx>
            <c:strRef>
              <c:f>'Category (2016)'!$B$11</c:f>
              <c:strCache>
                <c:ptCount val="1"/>
                <c:pt idx="0">
                  <c:v>Regional Coordination (Research and Data Development)</c:v>
                </c:pt>
              </c:strCache>
            </c:strRef>
          </c:tx>
          <c:cat>
            <c:strRef>
              <c:f>('Category (2016)'!$J$4,'Category (2016)'!$C$4)</c:f>
              <c:strCache>
                <c:ptCount val="2"/>
                <c:pt idx="0">
                  <c:v>Approved 2015</c:v>
                </c:pt>
                <c:pt idx="1">
                  <c:v>Approved 2016</c:v>
                </c:pt>
              </c:strCache>
            </c:strRef>
          </c:cat>
          <c:val>
            <c:numRef>
              <c:f>('Category (2016)'!$M$11,'Category (2016)'!$F$11)</c:f>
              <c:numCache>
                <c:formatCode>"$"#,##0_);\("$"#,##0\)</c:formatCode>
                <c:ptCount val="2"/>
                <c:pt idx="0">
                  <c:v>137500</c:v>
                </c:pt>
                <c:pt idx="1">
                  <c:v>150000</c:v>
                </c:pt>
              </c:numCache>
            </c:numRef>
          </c:val>
        </c:ser>
        <c:ser>
          <c:idx val="4"/>
          <c:order val="4"/>
          <c:tx>
            <c:strRef>
              <c:f>'Category (2016)'!$B$10</c:f>
              <c:strCache>
                <c:ptCount val="1"/>
                <c:pt idx="0">
                  <c:v>Research Projects &amp; Data Development</c:v>
                </c:pt>
              </c:strCache>
            </c:strRef>
          </c:tx>
          <c:cat>
            <c:strRef>
              <c:f>('Category (2016)'!$J$4,'Category (2016)'!$C$4)</c:f>
              <c:strCache>
                <c:ptCount val="2"/>
                <c:pt idx="0">
                  <c:v>Approved 2015</c:v>
                </c:pt>
                <c:pt idx="1">
                  <c:v>Approved 2016</c:v>
                </c:pt>
              </c:strCache>
            </c:strRef>
          </c:cat>
          <c:val>
            <c:numRef>
              <c:f>('Category (2016)'!$M$10,'Category (2016)'!$F$10)</c:f>
              <c:numCache>
                <c:formatCode>"$"#,##0_);\("$"#,##0\)</c:formatCode>
                <c:ptCount val="2"/>
                <c:pt idx="0">
                  <c:v>40000</c:v>
                </c:pt>
                <c:pt idx="1">
                  <c:v>0</c:v>
                </c:pt>
              </c:numCache>
            </c:numRef>
          </c:val>
        </c:ser>
        <c:ser>
          <c:idx val="3"/>
          <c:order val="5"/>
          <c:tx>
            <c:strRef>
              <c:f>'Category (2016)'!$B$9</c:f>
              <c:strCache>
                <c:ptCount val="1"/>
                <c:pt idx="0">
                  <c:v>Tool Development</c:v>
                </c:pt>
              </c:strCache>
            </c:strRef>
          </c:tx>
          <c:cat>
            <c:strRef>
              <c:f>('Category (2016)'!$J$4,'Category (2016)'!$C$4)</c:f>
              <c:strCache>
                <c:ptCount val="2"/>
                <c:pt idx="0">
                  <c:v>Approved 2015</c:v>
                </c:pt>
                <c:pt idx="1">
                  <c:v>Approved 2016</c:v>
                </c:pt>
              </c:strCache>
            </c:strRef>
          </c:cat>
          <c:val>
            <c:numRef>
              <c:f>('Category (2016)'!$M$9,'Category (2016)'!$F$9)</c:f>
              <c:numCache>
                <c:formatCode>"$"#,##0_);\("$"#,##0\)</c:formatCode>
                <c:ptCount val="2"/>
                <c:pt idx="0">
                  <c:v>90500</c:v>
                </c:pt>
                <c:pt idx="1">
                  <c:v>70000</c:v>
                </c:pt>
              </c:numCache>
            </c:numRef>
          </c:val>
        </c:ser>
        <c:ser>
          <c:idx val="0"/>
          <c:order val="6"/>
          <c:tx>
            <c:strRef>
              <c:f>'Category (2016)'!$B$8</c:f>
              <c:strCache>
                <c:ptCount val="1"/>
                <c:pt idx="0">
                  <c:v>Standardization of Technical Analysis</c:v>
                </c:pt>
              </c:strCache>
            </c:strRef>
          </c:tx>
          <c:cat>
            <c:strRef>
              <c:f>('Category (2016)'!$J$4,'Category (2016)'!$C$4)</c:f>
              <c:strCache>
                <c:ptCount val="2"/>
                <c:pt idx="0">
                  <c:v>Approved 2015</c:v>
                </c:pt>
                <c:pt idx="1">
                  <c:v>Approved 2016</c:v>
                </c:pt>
              </c:strCache>
            </c:strRef>
          </c:cat>
          <c:val>
            <c:numRef>
              <c:f>('Category (2016)'!$M$8,'Category (2016)'!$F$8)</c:f>
              <c:numCache>
                <c:formatCode>"$"#,##0_);\("$"#,##0\)</c:formatCode>
                <c:ptCount val="2"/>
                <c:pt idx="0">
                  <c:v>109000</c:v>
                </c:pt>
                <c:pt idx="1">
                  <c:v>205000</c:v>
                </c:pt>
              </c:numCache>
            </c:numRef>
          </c:val>
        </c:ser>
        <c:ser>
          <c:idx val="1"/>
          <c:order val="7"/>
          <c:tx>
            <c:strRef>
              <c:f>'Category (2016)'!$B$7</c:f>
              <c:strCache>
                <c:ptCount val="1"/>
                <c:pt idx="0">
                  <c:v>New Measure Development &amp; Review of Unsolicited Proposals</c:v>
                </c:pt>
              </c:strCache>
            </c:strRef>
          </c:tx>
          <c:cat>
            <c:strRef>
              <c:f>('Category (2016)'!$J$4,'Category (2016)'!$C$4)</c:f>
              <c:strCache>
                <c:ptCount val="2"/>
                <c:pt idx="0">
                  <c:v>Approved 2015</c:v>
                </c:pt>
                <c:pt idx="1">
                  <c:v>Approved 2016</c:v>
                </c:pt>
              </c:strCache>
            </c:strRef>
          </c:cat>
          <c:val>
            <c:numRef>
              <c:f>('Category (2016)'!$M$7,'Category (2016)'!$F$7)</c:f>
              <c:numCache>
                <c:formatCode>"$"#,##0_);\("$"#,##0\)</c:formatCode>
                <c:ptCount val="2"/>
                <c:pt idx="0">
                  <c:v>400000</c:v>
                </c:pt>
                <c:pt idx="1">
                  <c:v>328000</c:v>
                </c:pt>
              </c:numCache>
            </c:numRef>
          </c:val>
        </c:ser>
        <c:ser>
          <c:idx val="2"/>
          <c:order val="8"/>
          <c:tx>
            <c:strRef>
              <c:f>'Category (2016)'!$B$6</c:f>
              <c:strCache>
                <c:ptCount val="1"/>
                <c:pt idx="0">
                  <c:v>Existing Measure Review &amp; Updates</c:v>
                </c:pt>
              </c:strCache>
            </c:strRef>
          </c:tx>
          <c:cat>
            <c:strRef>
              <c:f>('Category (2016)'!$J$4,'Category (2016)'!$C$4)</c:f>
              <c:strCache>
                <c:ptCount val="2"/>
                <c:pt idx="0">
                  <c:v>Approved 2015</c:v>
                </c:pt>
                <c:pt idx="1">
                  <c:v>Approved 2016</c:v>
                </c:pt>
              </c:strCache>
            </c:strRef>
          </c:cat>
          <c:val>
            <c:numRef>
              <c:f>('Category (2016)'!$M$6,'Category (2016)'!$F$6)</c:f>
              <c:numCache>
                <c:formatCode>"$"#,##0_);\("$"#,##0\)</c:formatCode>
                <c:ptCount val="2"/>
                <c:pt idx="0">
                  <c:v>540500</c:v>
                </c:pt>
                <c:pt idx="1">
                  <c:v>452500</c:v>
                </c:pt>
              </c:numCache>
            </c:numRef>
          </c:val>
        </c:ser>
        <c:gapWidth val="27"/>
        <c:overlap val="100"/>
        <c:axId val="85509632"/>
        <c:axId val="85511168"/>
      </c:barChart>
      <c:catAx>
        <c:axId val="85509632"/>
        <c:scaling>
          <c:orientation val="minMax"/>
        </c:scaling>
        <c:axPos val="b"/>
        <c:numFmt formatCode="General" sourceLinked="1"/>
        <c:tickLblPos val="nextTo"/>
        <c:txPr>
          <a:bodyPr/>
          <a:lstStyle/>
          <a:p>
            <a:pPr>
              <a:defRPr sz="1800" b="1"/>
            </a:pPr>
            <a:endParaRPr lang="en-US"/>
          </a:p>
        </c:txPr>
        <c:crossAx val="85511168"/>
        <c:crosses val="autoZero"/>
        <c:auto val="1"/>
        <c:lblAlgn val="ctr"/>
        <c:lblOffset val="100"/>
      </c:catAx>
      <c:valAx>
        <c:axId val="85511168"/>
        <c:scaling>
          <c:orientation val="minMax"/>
        </c:scaling>
        <c:axPos val="l"/>
        <c:numFmt formatCode="&quot;$&quot;#,##0_);\(&quot;$&quot;#,##0\)" sourceLinked="1"/>
        <c:tickLblPos val="nextTo"/>
        <c:txPr>
          <a:bodyPr/>
          <a:lstStyle/>
          <a:p>
            <a:pPr>
              <a:defRPr sz="1200"/>
            </a:pPr>
            <a:endParaRPr lang="en-US"/>
          </a:p>
        </c:txPr>
        <c:crossAx val="85509632"/>
        <c:crosses val="autoZero"/>
        <c:crossBetween val="between"/>
      </c:valAx>
    </c:plotArea>
    <c:legend>
      <c:legendPos val="r"/>
      <c:layout>
        <c:manualLayout>
          <c:xMode val="edge"/>
          <c:yMode val="edge"/>
          <c:x val="0.67786400441933592"/>
          <c:y val="0.17298899640971704"/>
          <c:w val="0.30870079421776897"/>
          <c:h val="0.72488254330810165"/>
        </c:manualLayout>
      </c:layout>
      <c:txPr>
        <a:bodyPr/>
        <a:lstStyle/>
        <a:p>
          <a:pPr>
            <a:defRPr sz="1400"/>
          </a:pPr>
          <a:endParaRPr lang="en-US"/>
        </a:p>
      </c:txPr>
    </c:legend>
    <c:plotVisOnly val="1"/>
    <c:dispBlanksAs val="gap"/>
  </c:chart>
  <c:printSettings>
    <c:headerFooter/>
    <c:pageMargins b="0.75000000000001332" l="0.70000000000000162" r="0.700000000000001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RFP Allocation</a:t>
            </a:r>
          </a:p>
        </c:rich>
      </c:tx>
      <c:overlay val="1"/>
    </c:title>
    <c:plotArea>
      <c:layout/>
      <c:barChart>
        <c:barDir val="col"/>
        <c:grouping val="stacked"/>
        <c:ser>
          <c:idx val="8"/>
          <c:order val="0"/>
          <c:tx>
            <c:strRef>
              <c:f>'Category (2016)'!$B$14</c:f>
              <c:strCache>
                <c:ptCount val="1"/>
                <c:pt idx="0">
                  <c:v>RTF Management</c:v>
                </c:pt>
              </c:strCache>
            </c:strRef>
          </c:tx>
          <c:cat>
            <c:numLit>
              <c:formatCode>General</c:formatCode>
              <c:ptCount val="2"/>
              <c:pt idx="0">
                <c:v>2015</c:v>
              </c:pt>
              <c:pt idx="1">
                <c:v>2016</c:v>
              </c:pt>
            </c:numLit>
          </c:cat>
          <c:val>
            <c:numRef>
              <c:f>('Category (2016)'!$J$14,'Category (2016)'!$C$14)</c:f>
              <c:numCache>
                <c:formatCode>"$"#,##0_);\("$"#,##0\)</c:formatCode>
                <c:ptCount val="2"/>
                <c:pt idx="0">
                  <c:v>8300</c:v>
                </c:pt>
                <c:pt idx="1">
                  <c:v>8300</c:v>
                </c:pt>
              </c:numCache>
            </c:numRef>
          </c:val>
        </c:ser>
        <c:ser>
          <c:idx val="7"/>
          <c:order val="1"/>
          <c:tx>
            <c:strRef>
              <c:f>'Category (2016)'!$B$13</c:f>
              <c:strCache>
                <c:ptCount val="1"/>
                <c:pt idx="0">
                  <c:v>RTF Member Support &amp; Administration</c:v>
                </c:pt>
              </c:strCache>
            </c:strRef>
          </c:tx>
          <c:cat>
            <c:numLit>
              <c:formatCode>General</c:formatCode>
              <c:ptCount val="2"/>
              <c:pt idx="0">
                <c:v>2015</c:v>
              </c:pt>
              <c:pt idx="1">
                <c:v>2016</c:v>
              </c:pt>
            </c:numLit>
          </c:cat>
          <c:val>
            <c:numRef>
              <c:f>('Category (2016)'!$J$13,'Category (2016)'!$C$13)</c:f>
              <c:numCache>
                <c:formatCode>"$"#,##0_);\("$"#,##0\)</c:formatCode>
                <c:ptCount val="2"/>
                <c:pt idx="0">
                  <c:v>146800</c:v>
                </c:pt>
                <c:pt idx="1">
                  <c:v>169200</c:v>
                </c:pt>
              </c:numCache>
            </c:numRef>
          </c:val>
        </c:ser>
        <c:ser>
          <c:idx val="6"/>
          <c:order val="2"/>
          <c:tx>
            <c:strRef>
              <c:f>'Category (2016)'!$B$12</c:f>
              <c:strCache>
                <c:ptCount val="1"/>
                <c:pt idx="0">
                  <c:v>Website, Database support, Conservation Tracking </c:v>
                </c:pt>
              </c:strCache>
            </c:strRef>
          </c:tx>
          <c:cat>
            <c:numLit>
              <c:formatCode>General</c:formatCode>
              <c:ptCount val="2"/>
              <c:pt idx="0">
                <c:v>2015</c:v>
              </c:pt>
              <c:pt idx="1">
                <c:v>2016</c:v>
              </c:pt>
            </c:numLit>
          </c:cat>
          <c:val>
            <c:numRef>
              <c:f>('Category (2016)'!$J$12,'Category (2016)'!$C$12)</c:f>
              <c:numCache>
                <c:formatCode>"$"#,##0_);\("$"#,##0\)</c:formatCode>
                <c:ptCount val="2"/>
                <c:pt idx="0">
                  <c:v>20000</c:v>
                </c:pt>
                <c:pt idx="1">
                  <c:v>60000</c:v>
                </c:pt>
              </c:numCache>
            </c:numRef>
          </c:val>
        </c:ser>
        <c:ser>
          <c:idx val="5"/>
          <c:order val="3"/>
          <c:tx>
            <c:strRef>
              <c:f>'Category (2016)'!$B$11</c:f>
              <c:strCache>
                <c:ptCount val="1"/>
                <c:pt idx="0">
                  <c:v>Regional Coordination (Research and Data Development)</c:v>
                </c:pt>
              </c:strCache>
            </c:strRef>
          </c:tx>
          <c:cat>
            <c:numLit>
              <c:formatCode>General</c:formatCode>
              <c:ptCount val="2"/>
              <c:pt idx="0">
                <c:v>2015</c:v>
              </c:pt>
              <c:pt idx="1">
                <c:v>2016</c:v>
              </c:pt>
            </c:numLit>
          </c:cat>
          <c:val>
            <c:numRef>
              <c:f>('Category (2016)'!$J$11,'Category (2016)'!$C$11)</c:f>
              <c:numCache>
                <c:formatCode>"$"#,##0_);\("$"#,##0\)</c:formatCode>
                <c:ptCount val="2"/>
                <c:pt idx="0">
                  <c:v>12500</c:v>
                </c:pt>
                <c:pt idx="1">
                  <c:v>15000</c:v>
                </c:pt>
              </c:numCache>
            </c:numRef>
          </c:val>
        </c:ser>
        <c:ser>
          <c:idx val="4"/>
          <c:order val="4"/>
          <c:tx>
            <c:strRef>
              <c:f>'Category (2016)'!$B$10</c:f>
              <c:strCache>
                <c:ptCount val="1"/>
                <c:pt idx="0">
                  <c:v>Research Projects &amp; Data Development</c:v>
                </c:pt>
              </c:strCache>
            </c:strRef>
          </c:tx>
          <c:cat>
            <c:numLit>
              <c:formatCode>General</c:formatCode>
              <c:ptCount val="2"/>
              <c:pt idx="0">
                <c:v>2015</c:v>
              </c:pt>
              <c:pt idx="1">
                <c:v>2016</c:v>
              </c:pt>
            </c:numLit>
          </c:cat>
          <c:val>
            <c:numRef>
              <c:f>('Category (2016)'!$J$10,'Category (2016)'!$C$10)</c:f>
              <c:numCache>
                <c:formatCode>"$"#,##0_);\("$"#,##0\)</c:formatCode>
                <c:ptCount val="2"/>
                <c:pt idx="0">
                  <c:v>0</c:v>
                </c:pt>
                <c:pt idx="1">
                  <c:v>0</c:v>
                </c:pt>
              </c:numCache>
            </c:numRef>
          </c:val>
        </c:ser>
        <c:ser>
          <c:idx val="3"/>
          <c:order val="5"/>
          <c:tx>
            <c:strRef>
              <c:f>'Category (2016)'!$B$9</c:f>
              <c:strCache>
                <c:ptCount val="1"/>
                <c:pt idx="0">
                  <c:v>Tool Development</c:v>
                </c:pt>
              </c:strCache>
            </c:strRef>
          </c:tx>
          <c:cat>
            <c:numLit>
              <c:formatCode>General</c:formatCode>
              <c:ptCount val="2"/>
              <c:pt idx="0">
                <c:v>2015</c:v>
              </c:pt>
              <c:pt idx="1">
                <c:v>2016</c:v>
              </c:pt>
            </c:numLit>
          </c:cat>
          <c:val>
            <c:numRef>
              <c:f>('Category (2016)'!$J$9,'Category (2016)'!$C$9)</c:f>
              <c:numCache>
                <c:formatCode>"$"#,##0_);\("$"#,##0\)</c:formatCode>
                <c:ptCount val="2"/>
                <c:pt idx="0">
                  <c:v>10500</c:v>
                </c:pt>
                <c:pt idx="1">
                  <c:v>10000</c:v>
                </c:pt>
              </c:numCache>
            </c:numRef>
          </c:val>
        </c:ser>
        <c:ser>
          <c:idx val="2"/>
          <c:order val="6"/>
          <c:tx>
            <c:strRef>
              <c:f>'Category (2016)'!$B$8</c:f>
              <c:strCache>
                <c:ptCount val="1"/>
                <c:pt idx="0">
                  <c:v>Standardization of Technical Analysis</c:v>
                </c:pt>
              </c:strCache>
            </c:strRef>
          </c:tx>
          <c:cat>
            <c:numLit>
              <c:formatCode>General</c:formatCode>
              <c:ptCount val="2"/>
              <c:pt idx="0">
                <c:v>2015</c:v>
              </c:pt>
              <c:pt idx="1">
                <c:v>2016</c:v>
              </c:pt>
            </c:numLit>
          </c:cat>
          <c:val>
            <c:numRef>
              <c:f>('Category (2016)'!$J$8,'Category (2016)'!$C$8)</c:f>
              <c:numCache>
                <c:formatCode>"$"#,##0_);\("$"#,##0\)</c:formatCode>
                <c:ptCount val="2"/>
                <c:pt idx="0">
                  <c:v>25000</c:v>
                </c:pt>
                <c:pt idx="1">
                  <c:v>30000</c:v>
                </c:pt>
              </c:numCache>
            </c:numRef>
          </c:val>
        </c:ser>
        <c:ser>
          <c:idx val="1"/>
          <c:order val="7"/>
          <c:tx>
            <c:strRef>
              <c:f>'Category (2016)'!$B$7</c:f>
              <c:strCache>
                <c:ptCount val="1"/>
                <c:pt idx="0">
                  <c:v>New Measure Development &amp; Review of Unsolicited Proposals</c:v>
                </c:pt>
              </c:strCache>
            </c:strRef>
          </c:tx>
          <c:cat>
            <c:numLit>
              <c:formatCode>General</c:formatCode>
              <c:ptCount val="2"/>
              <c:pt idx="0">
                <c:v>2015</c:v>
              </c:pt>
              <c:pt idx="1">
                <c:v>2016</c:v>
              </c:pt>
            </c:numLit>
          </c:cat>
          <c:val>
            <c:numRef>
              <c:f>('Category (2016)'!$J$7,'Category (2016)'!$C$7)</c:f>
              <c:numCache>
                <c:formatCode>"$"#,##0_);\("$"#,##0\)</c:formatCode>
                <c:ptCount val="2"/>
                <c:pt idx="0">
                  <c:v>90000</c:v>
                </c:pt>
                <c:pt idx="1">
                  <c:v>88000</c:v>
                </c:pt>
              </c:numCache>
            </c:numRef>
          </c:val>
        </c:ser>
        <c:ser>
          <c:idx val="0"/>
          <c:order val="8"/>
          <c:tx>
            <c:strRef>
              <c:f>'Category (2016)'!$B$6</c:f>
              <c:strCache>
                <c:ptCount val="1"/>
                <c:pt idx="0">
                  <c:v>Existing Measure Review &amp; Updates</c:v>
                </c:pt>
              </c:strCache>
            </c:strRef>
          </c:tx>
          <c:cat>
            <c:numLit>
              <c:formatCode>General</c:formatCode>
              <c:ptCount val="2"/>
              <c:pt idx="0">
                <c:v>2015</c:v>
              </c:pt>
              <c:pt idx="1">
                <c:v>2016</c:v>
              </c:pt>
            </c:numLit>
          </c:cat>
          <c:val>
            <c:numRef>
              <c:f>('Category (2016)'!$J$6,'Category (2016)'!$C$6)</c:f>
              <c:numCache>
                <c:formatCode>"$"#,##0_);\("$"#,##0\)</c:formatCode>
                <c:ptCount val="2"/>
                <c:pt idx="0">
                  <c:v>112500</c:v>
                </c:pt>
                <c:pt idx="1">
                  <c:v>127500</c:v>
                </c:pt>
              </c:numCache>
            </c:numRef>
          </c:val>
        </c:ser>
        <c:overlap val="100"/>
        <c:axId val="86177280"/>
        <c:axId val="86178816"/>
      </c:barChart>
      <c:catAx>
        <c:axId val="86177280"/>
        <c:scaling>
          <c:orientation val="minMax"/>
        </c:scaling>
        <c:axPos val="b"/>
        <c:numFmt formatCode="General" sourceLinked="1"/>
        <c:tickLblPos val="nextTo"/>
        <c:txPr>
          <a:bodyPr/>
          <a:lstStyle/>
          <a:p>
            <a:pPr>
              <a:defRPr sz="1800" b="1"/>
            </a:pPr>
            <a:endParaRPr lang="en-US"/>
          </a:p>
        </c:txPr>
        <c:crossAx val="86178816"/>
        <c:crosses val="autoZero"/>
        <c:auto val="1"/>
        <c:lblAlgn val="ctr"/>
        <c:lblOffset val="100"/>
      </c:catAx>
      <c:valAx>
        <c:axId val="86178816"/>
        <c:scaling>
          <c:orientation val="minMax"/>
        </c:scaling>
        <c:axPos val="l"/>
        <c:numFmt formatCode="&quot;$&quot;#,##0_);\(&quot;$&quot;#,##0\)" sourceLinked="1"/>
        <c:tickLblPos val="nextTo"/>
        <c:txPr>
          <a:bodyPr/>
          <a:lstStyle/>
          <a:p>
            <a:pPr>
              <a:defRPr sz="1200"/>
            </a:pPr>
            <a:endParaRPr lang="en-US"/>
          </a:p>
        </c:txPr>
        <c:crossAx val="86177280"/>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232" l="0.70000000000000162" r="0.70000000000000162" t="0.7500000000000123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Analyst Team Allocation</a:t>
            </a:r>
          </a:p>
        </c:rich>
      </c:tx>
      <c:overlay val="1"/>
    </c:title>
    <c:plotArea>
      <c:layout/>
      <c:barChart>
        <c:barDir val="col"/>
        <c:grouping val="stacked"/>
        <c:ser>
          <c:idx val="8"/>
          <c:order val="0"/>
          <c:tx>
            <c:strRef>
              <c:f>'Category (2016)'!$B$14</c:f>
              <c:strCache>
                <c:ptCount val="1"/>
                <c:pt idx="0">
                  <c:v>RTF Management</c:v>
                </c:pt>
              </c:strCache>
            </c:strRef>
          </c:tx>
          <c:cat>
            <c:numLit>
              <c:formatCode>General</c:formatCode>
              <c:ptCount val="2"/>
              <c:pt idx="0">
                <c:v>2015</c:v>
              </c:pt>
              <c:pt idx="1">
                <c:v>2016</c:v>
              </c:pt>
            </c:numLit>
          </c:cat>
          <c:val>
            <c:numRef>
              <c:f>('Category (2016)'!$L$14,'Category (2016)'!$E$14)</c:f>
              <c:numCache>
                <c:formatCode>"$"#,##0_);\("$"#,##0\)</c:formatCode>
                <c:ptCount val="2"/>
                <c:pt idx="0">
                  <c:v>125000</c:v>
                </c:pt>
                <c:pt idx="1">
                  <c:v>135000</c:v>
                </c:pt>
              </c:numCache>
            </c:numRef>
          </c:val>
        </c:ser>
        <c:ser>
          <c:idx val="7"/>
          <c:order val="1"/>
          <c:tx>
            <c:strRef>
              <c:f>'Category (2016)'!$B$13</c:f>
              <c:strCache>
                <c:ptCount val="1"/>
                <c:pt idx="0">
                  <c:v>RTF Member Support &amp; Administration</c:v>
                </c:pt>
              </c:strCache>
            </c:strRef>
          </c:tx>
          <c:cat>
            <c:numLit>
              <c:formatCode>General</c:formatCode>
              <c:ptCount val="2"/>
              <c:pt idx="0">
                <c:v>2015</c:v>
              </c:pt>
              <c:pt idx="1">
                <c:v>2016</c:v>
              </c:pt>
            </c:numLit>
          </c:cat>
          <c:val>
            <c:numRef>
              <c:f>('Category (2016)'!$K$13,'Category (2016)'!$D$13)</c:f>
              <c:numCache>
                <c:formatCode>"$"#,##0_);\("$"#,##0\)</c:formatCode>
                <c:ptCount val="2"/>
                <c:pt idx="0">
                  <c:v>0</c:v>
                </c:pt>
                <c:pt idx="1">
                  <c:v>65000</c:v>
                </c:pt>
              </c:numCache>
            </c:numRef>
          </c:val>
        </c:ser>
        <c:ser>
          <c:idx val="6"/>
          <c:order val="2"/>
          <c:tx>
            <c:strRef>
              <c:f>'Category (2016)'!$B$12</c:f>
              <c:strCache>
                <c:ptCount val="1"/>
                <c:pt idx="0">
                  <c:v>Website, Database support, Conservation Tracking </c:v>
                </c:pt>
              </c:strCache>
            </c:strRef>
          </c:tx>
          <c:cat>
            <c:numLit>
              <c:formatCode>General</c:formatCode>
              <c:ptCount val="2"/>
              <c:pt idx="0">
                <c:v>2015</c:v>
              </c:pt>
              <c:pt idx="1">
                <c:v>2016</c:v>
              </c:pt>
            </c:numLit>
          </c:cat>
          <c:val>
            <c:numRef>
              <c:f>('Category (2016)'!$K$12,'Category (2016)'!$D$12)</c:f>
              <c:numCache>
                <c:formatCode>"$"#,##0_);\("$"#,##0\)</c:formatCode>
                <c:ptCount val="2"/>
                <c:pt idx="0">
                  <c:v>20000</c:v>
                </c:pt>
                <c:pt idx="1">
                  <c:v>20000</c:v>
                </c:pt>
              </c:numCache>
            </c:numRef>
          </c:val>
        </c:ser>
        <c:ser>
          <c:idx val="5"/>
          <c:order val="3"/>
          <c:tx>
            <c:strRef>
              <c:f>'Category (2016)'!$B$11</c:f>
              <c:strCache>
                <c:ptCount val="1"/>
                <c:pt idx="0">
                  <c:v>Regional Coordination (Research and Data Development)</c:v>
                </c:pt>
              </c:strCache>
            </c:strRef>
          </c:tx>
          <c:cat>
            <c:numLit>
              <c:formatCode>General</c:formatCode>
              <c:ptCount val="2"/>
              <c:pt idx="0">
                <c:v>2015</c:v>
              </c:pt>
              <c:pt idx="1">
                <c:v>2016</c:v>
              </c:pt>
            </c:numLit>
          </c:cat>
          <c:val>
            <c:numRef>
              <c:f>('Category (2016)'!$K$11,'Category (2016)'!$D$11)</c:f>
              <c:numCache>
                <c:formatCode>"$"#,##0_);\("$"#,##0\)</c:formatCode>
                <c:ptCount val="2"/>
                <c:pt idx="0">
                  <c:v>125000</c:v>
                </c:pt>
                <c:pt idx="1">
                  <c:v>135000</c:v>
                </c:pt>
              </c:numCache>
            </c:numRef>
          </c:val>
        </c:ser>
        <c:ser>
          <c:idx val="4"/>
          <c:order val="4"/>
          <c:tx>
            <c:strRef>
              <c:f>'Category (2016)'!$B$10</c:f>
              <c:strCache>
                <c:ptCount val="1"/>
                <c:pt idx="0">
                  <c:v>Research Projects &amp; Data Development</c:v>
                </c:pt>
              </c:strCache>
            </c:strRef>
          </c:tx>
          <c:cat>
            <c:numLit>
              <c:formatCode>General</c:formatCode>
              <c:ptCount val="2"/>
              <c:pt idx="0">
                <c:v>2015</c:v>
              </c:pt>
              <c:pt idx="1">
                <c:v>2016</c:v>
              </c:pt>
            </c:numLit>
          </c:cat>
          <c:val>
            <c:numRef>
              <c:f>('Category (2016)'!$K$10,'Category (2016)'!$D$10)</c:f>
              <c:numCache>
                <c:formatCode>"$"#,##0_);\("$"#,##0\)</c:formatCode>
                <c:ptCount val="2"/>
                <c:pt idx="0">
                  <c:v>40000</c:v>
                </c:pt>
                <c:pt idx="1">
                  <c:v>0</c:v>
                </c:pt>
              </c:numCache>
            </c:numRef>
          </c:val>
        </c:ser>
        <c:ser>
          <c:idx val="3"/>
          <c:order val="5"/>
          <c:tx>
            <c:strRef>
              <c:f>'Category (2016)'!$B$9</c:f>
              <c:strCache>
                <c:ptCount val="1"/>
                <c:pt idx="0">
                  <c:v>Tool Development</c:v>
                </c:pt>
              </c:strCache>
            </c:strRef>
          </c:tx>
          <c:cat>
            <c:numLit>
              <c:formatCode>General</c:formatCode>
              <c:ptCount val="2"/>
              <c:pt idx="0">
                <c:v>2015</c:v>
              </c:pt>
              <c:pt idx="1">
                <c:v>2016</c:v>
              </c:pt>
            </c:numLit>
          </c:cat>
          <c:val>
            <c:numRef>
              <c:f>('Category (2016)'!$K$9,'Category (2016)'!$D$9)</c:f>
              <c:numCache>
                <c:formatCode>"$"#,##0_);\("$"#,##0\)</c:formatCode>
                <c:ptCount val="2"/>
                <c:pt idx="0">
                  <c:v>80000</c:v>
                </c:pt>
                <c:pt idx="1">
                  <c:v>60000</c:v>
                </c:pt>
              </c:numCache>
            </c:numRef>
          </c:val>
        </c:ser>
        <c:ser>
          <c:idx val="2"/>
          <c:order val="6"/>
          <c:tx>
            <c:strRef>
              <c:f>'Category (2016)'!$B$8</c:f>
              <c:strCache>
                <c:ptCount val="1"/>
                <c:pt idx="0">
                  <c:v>Standardization of Technical Analysis</c:v>
                </c:pt>
              </c:strCache>
            </c:strRef>
          </c:tx>
          <c:cat>
            <c:numLit>
              <c:formatCode>General</c:formatCode>
              <c:ptCount val="2"/>
              <c:pt idx="0">
                <c:v>2015</c:v>
              </c:pt>
              <c:pt idx="1">
                <c:v>2016</c:v>
              </c:pt>
            </c:numLit>
          </c:cat>
          <c:val>
            <c:numRef>
              <c:f>('Category (2016)'!$K$8,'Category (2016)'!$D$8)</c:f>
              <c:numCache>
                <c:formatCode>"$"#,##0_);\("$"#,##0\)</c:formatCode>
                <c:ptCount val="2"/>
                <c:pt idx="0">
                  <c:v>84000</c:v>
                </c:pt>
                <c:pt idx="1">
                  <c:v>175000</c:v>
                </c:pt>
              </c:numCache>
            </c:numRef>
          </c:val>
        </c:ser>
        <c:ser>
          <c:idx val="1"/>
          <c:order val="7"/>
          <c:tx>
            <c:strRef>
              <c:f>'Category (2016)'!$B$7</c:f>
              <c:strCache>
                <c:ptCount val="1"/>
                <c:pt idx="0">
                  <c:v>New Measure Development &amp; Review of Unsolicited Proposals</c:v>
                </c:pt>
              </c:strCache>
            </c:strRef>
          </c:tx>
          <c:cat>
            <c:numLit>
              <c:formatCode>General</c:formatCode>
              <c:ptCount val="2"/>
              <c:pt idx="0">
                <c:v>2015</c:v>
              </c:pt>
              <c:pt idx="1">
                <c:v>2016</c:v>
              </c:pt>
            </c:numLit>
          </c:cat>
          <c:val>
            <c:numRef>
              <c:f>('Category (2016)'!$K$7,'Category (2016)'!$D$7)</c:f>
              <c:numCache>
                <c:formatCode>"$"#,##0_);\("$"#,##0\)</c:formatCode>
                <c:ptCount val="2"/>
                <c:pt idx="0">
                  <c:v>310000</c:v>
                </c:pt>
                <c:pt idx="1">
                  <c:v>240000</c:v>
                </c:pt>
              </c:numCache>
            </c:numRef>
          </c:val>
        </c:ser>
        <c:ser>
          <c:idx val="0"/>
          <c:order val="8"/>
          <c:tx>
            <c:strRef>
              <c:f>'Category (2016)'!$B$6</c:f>
              <c:strCache>
                <c:ptCount val="1"/>
                <c:pt idx="0">
                  <c:v>Existing Measure Review &amp; Updates</c:v>
                </c:pt>
              </c:strCache>
            </c:strRef>
          </c:tx>
          <c:cat>
            <c:numLit>
              <c:formatCode>General</c:formatCode>
              <c:ptCount val="2"/>
              <c:pt idx="0">
                <c:v>2015</c:v>
              </c:pt>
              <c:pt idx="1">
                <c:v>2016</c:v>
              </c:pt>
            </c:numLit>
          </c:cat>
          <c:val>
            <c:numRef>
              <c:f>('Category (2016)'!$K$6,'Category (2016)'!$D$6)</c:f>
              <c:numCache>
                <c:formatCode>"$"#,##0_);\("$"#,##0\)</c:formatCode>
                <c:ptCount val="2"/>
                <c:pt idx="0">
                  <c:v>428000</c:v>
                </c:pt>
                <c:pt idx="1">
                  <c:v>325000</c:v>
                </c:pt>
              </c:numCache>
            </c:numRef>
          </c:val>
        </c:ser>
        <c:overlap val="100"/>
        <c:axId val="86361216"/>
        <c:axId val="86362752"/>
      </c:barChart>
      <c:catAx>
        <c:axId val="86361216"/>
        <c:scaling>
          <c:orientation val="minMax"/>
        </c:scaling>
        <c:axPos val="b"/>
        <c:numFmt formatCode="General" sourceLinked="1"/>
        <c:tickLblPos val="nextTo"/>
        <c:txPr>
          <a:bodyPr/>
          <a:lstStyle/>
          <a:p>
            <a:pPr>
              <a:defRPr sz="1800" b="1"/>
            </a:pPr>
            <a:endParaRPr lang="en-US"/>
          </a:p>
        </c:txPr>
        <c:crossAx val="86362752"/>
        <c:crosses val="autoZero"/>
        <c:auto val="1"/>
        <c:lblAlgn val="ctr"/>
        <c:lblOffset val="100"/>
      </c:catAx>
      <c:valAx>
        <c:axId val="86362752"/>
        <c:scaling>
          <c:orientation val="minMax"/>
        </c:scaling>
        <c:axPos val="l"/>
        <c:numFmt formatCode="&quot;$&quot;#,##0_);\(&quot;$&quot;#,##0\)" sourceLinked="1"/>
        <c:tickLblPos val="nextTo"/>
        <c:txPr>
          <a:bodyPr/>
          <a:lstStyle/>
          <a:p>
            <a:pPr>
              <a:defRPr sz="1200"/>
            </a:pPr>
            <a:endParaRPr lang="en-US"/>
          </a:p>
        </c:txPr>
        <c:crossAx val="86361216"/>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332" l="0.70000000000000162" r="0.70000000000000162" t="0.7500000000000133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 Allocation</a:t>
            </a:r>
          </a:p>
        </c:rich>
      </c:tx>
      <c:overlay val="1"/>
    </c:title>
    <c:plotArea>
      <c:layout/>
      <c:barChart>
        <c:barDir val="col"/>
        <c:grouping val="stacked"/>
        <c:ser>
          <c:idx val="1"/>
          <c:order val="0"/>
          <c:tx>
            <c:strRef>
              <c:f>'Category (2016)'!$O$123</c:f>
              <c:strCache>
                <c:ptCount val="1"/>
                <c:pt idx="0">
                  <c:v>Contract RFP</c:v>
                </c:pt>
              </c:strCache>
            </c:strRef>
          </c:tx>
          <c:cat>
            <c:numRef>
              <c:f>'Category (2016)'!$P$122:$R$122</c:f>
              <c:numCache>
                <c:formatCode>General</c:formatCode>
                <c:ptCount val="3"/>
                <c:pt idx="0">
                  <c:v>2014</c:v>
                </c:pt>
                <c:pt idx="1">
                  <c:v>2015</c:v>
                </c:pt>
                <c:pt idx="2">
                  <c:v>2016</c:v>
                </c:pt>
              </c:numCache>
            </c:numRef>
          </c:cat>
          <c:val>
            <c:numRef>
              <c:f>'Category (2016)'!$P$123:$R$123</c:f>
              <c:numCache>
                <c:formatCode>"$"#,##0_);\("$"#,##0\)</c:formatCode>
                <c:ptCount val="3"/>
                <c:pt idx="0">
                  <c:v>482000</c:v>
                </c:pt>
                <c:pt idx="1">
                  <c:v>425600</c:v>
                </c:pt>
                <c:pt idx="2">
                  <c:v>508000</c:v>
                </c:pt>
              </c:numCache>
            </c:numRef>
          </c:val>
        </c:ser>
        <c:ser>
          <c:idx val="0"/>
          <c:order val="1"/>
          <c:tx>
            <c:strRef>
              <c:f>'Category (2016)'!$O$125</c:f>
              <c:strCache>
                <c:ptCount val="1"/>
                <c:pt idx="0">
                  <c:v>Contract Analyst Team and RTF Manager</c:v>
                </c:pt>
              </c:strCache>
            </c:strRef>
          </c:tx>
          <c:cat>
            <c:numRef>
              <c:f>'Category (2016)'!$P$122:$R$122</c:f>
              <c:numCache>
                <c:formatCode>General</c:formatCode>
                <c:ptCount val="3"/>
                <c:pt idx="0">
                  <c:v>2014</c:v>
                </c:pt>
                <c:pt idx="1">
                  <c:v>2015</c:v>
                </c:pt>
                <c:pt idx="2">
                  <c:v>2016</c:v>
                </c:pt>
              </c:numCache>
            </c:numRef>
          </c:cat>
          <c:val>
            <c:numRef>
              <c:f>'Category (2016)'!$P$125:$R$125</c:f>
              <c:numCache>
                <c:formatCode>"$"#,##0_);\("$"#,##0\)</c:formatCode>
                <c:ptCount val="3"/>
                <c:pt idx="0">
                  <c:v>991000</c:v>
                </c:pt>
                <c:pt idx="1">
                  <c:v>1212000</c:v>
                </c:pt>
                <c:pt idx="2">
                  <c:v>1155000</c:v>
                </c:pt>
              </c:numCache>
            </c:numRef>
          </c:val>
        </c:ser>
        <c:overlap val="100"/>
        <c:axId val="86469632"/>
        <c:axId val="86471424"/>
      </c:barChart>
      <c:catAx>
        <c:axId val="86469632"/>
        <c:scaling>
          <c:orientation val="minMax"/>
        </c:scaling>
        <c:axPos val="b"/>
        <c:numFmt formatCode="General" sourceLinked="1"/>
        <c:tickLblPos val="nextTo"/>
        <c:txPr>
          <a:bodyPr/>
          <a:lstStyle/>
          <a:p>
            <a:pPr>
              <a:defRPr sz="1800" b="1"/>
            </a:pPr>
            <a:endParaRPr lang="en-US"/>
          </a:p>
        </c:txPr>
        <c:crossAx val="86471424"/>
        <c:crosses val="autoZero"/>
        <c:auto val="1"/>
        <c:lblAlgn val="ctr"/>
        <c:lblOffset val="100"/>
      </c:catAx>
      <c:valAx>
        <c:axId val="86471424"/>
        <c:scaling>
          <c:orientation val="minMax"/>
        </c:scaling>
        <c:axPos val="l"/>
        <c:numFmt formatCode="&quot;$&quot;#,##0_);\(&quot;$&quot;#,##0\)" sourceLinked="1"/>
        <c:tickLblPos val="nextTo"/>
        <c:txPr>
          <a:bodyPr/>
          <a:lstStyle/>
          <a:p>
            <a:pPr>
              <a:defRPr sz="1200"/>
            </a:pPr>
            <a:endParaRPr lang="en-US"/>
          </a:p>
        </c:txPr>
        <c:crossAx val="86469632"/>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332" l="0.70000000000000162" r="0.70000000000000162" t="0.7500000000000133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Funding </a:t>
            </a:r>
          </a:p>
          <a:p>
            <a:pPr>
              <a:defRPr/>
            </a:pPr>
            <a:r>
              <a:rPr lang="en-US"/>
              <a:t>(Including Council)</a:t>
            </a:r>
          </a:p>
        </c:rich>
      </c:tx>
    </c:title>
    <c:plotArea>
      <c:layout>
        <c:manualLayout>
          <c:layoutTarget val="inner"/>
          <c:xMode val="edge"/>
          <c:yMode val="edge"/>
          <c:x val="0.145671997185919"/>
          <c:y val="0.27372871660273201"/>
          <c:w val="0.50148839642467402"/>
          <c:h val="0.50971204686370697"/>
        </c:manualLayout>
      </c:layout>
      <c:barChart>
        <c:barDir val="col"/>
        <c:grouping val="stacked"/>
        <c:ser>
          <c:idx val="3"/>
          <c:order val="0"/>
          <c:tx>
            <c:strRef>
              <c:f>'Category (2015-2019)'!$E$18</c:f>
              <c:strCache>
                <c:ptCount val="1"/>
                <c:pt idx="0">
                  <c:v>RTF Manager</c:v>
                </c:pt>
              </c:strCache>
            </c:strRef>
          </c:tx>
          <c:dPt>
            <c:idx val="0"/>
            <c:spPr>
              <a:solidFill>
                <a:schemeClr val="bg1">
                  <a:lumMod val="50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(2015-2019)'!$E$19:$E$23</c:f>
              <c:numCache>
                <c:formatCode>"$"#,##0_);\("$"#,##0\)</c:formatCode>
                <c:ptCount val="5"/>
                <c:pt idx="0">
                  <c:v>125000</c:v>
                </c:pt>
                <c:pt idx="1">
                  <c:v>135000</c:v>
                </c:pt>
                <c:pt idx="2">
                  <c:v>140700</c:v>
                </c:pt>
                <c:pt idx="3">
                  <c:v>146700</c:v>
                </c:pt>
                <c:pt idx="4">
                  <c:v>153400</c:v>
                </c:pt>
              </c:numCache>
            </c:numRef>
          </c:val>
        </c:ser>
        <c:ser>
          <c:idx val="0"/>
          <c:order val="1"/>
          <c:tx>
            <c:strRef>
              <c:f>'Category (2015-2019)'!$C$18</c:f>
              <c:strCache>
                <c:ptCount val="1"/>
                <c:pt idx="0">
                  <c:v>Contract RFP</c:v>
                </c:pt>
              </c:strCache>
            </c:strRef>
          </c:tx>
          <c:dPt>
            <c:idx val="0"/>
            <c:spPr>
              <a:solidFill>
                <a:schemeClr val="bg1">
                  <a:lumMod val="65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(2015-2019)'!$C$19:$C$23</c:f>
              <c:numCache>
                <c:formatCode>"$"#,##0_);\("$"#,##0\)</c:formatCode>
                <c:ptCount val="5"/>
                <c:pt idx="0">
                  <c:v>425600</c:v>
                </c:pt>
                <c:pt idx="1">
                  <c:v>508000</c:v>
                </c:pt>
                <c:pt idx="2">
                  <c:v>542500</c:v>
                </c:pt>
                <c:pt idx="3">
                  <c:v>565400</c:v>
                </c:pt>
                <c:pt idx="4">
                  <c:v>581400</c:v>
                </c:pt>
              </c:numCache>
            </c:numRef>
          </c:val>
        </c:ser>
        <c:ser>
          <c:idx val="1"/>
          <c:order val="2"/>
          <c:tx>
            <c:strRef>
              <c:f>'Category (2015-2019)'!$D$18</c:f>
              <c:strCache>
                <c:ptCount val="1"/>
                <c:pt idx="0">
                  <c:v>Contract Analyst Team</c:v>
                </c:pt>
              </c:strCache>
            </c:strRef>
          </c:tx>
          <c:dPt>
            <c:idx val="0"/>
            <c:spPr>
              <a:solidFill>
                <a:schemeClr val="bg1">
                  <a:lumMod val="75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(2015-2019)'!$D$19:$D$23</c:f>
              <c:numCache>
                <c:formatCode>"$"#,##0_);\("$"#,##0\)</c:formatCode>
                <c:ptCount val="5"/>
                <c:pt idx="0">
                  <c:v>1087000</c:v>
                </c:pt>
                <c:pt idx="1">
                  <c:v>1020000</c:v>
                </c:pt>
                <c:pt idx="2">
                  <c:v>1106900</c:v>
                </c:pt>
                <c:pt idx="3">
                  <c:v>1121900</c:v>
                </c:pt>
                <c:pt idx="4">
                  <c:v>1140600</c:v>
                </c:pt>
              </c:numCache>
            </c:numRef>
          </c:val>
        </c:ser>
        <c:ser>
          <c:idx val="2"/>
          <c:order val="3"/>
          <c:tx>
            <c:strRef>
              <c:f>'Category (2015-2019)'!$G$18</c:f>
              <c:strCache>
                <c:ptCount val="1"/>
                <c:pt idx="0">
                  <c:v>Council Staff (In-Kind)</c:v>
                </c:pt>
              </c:strCache>
            </c:strRef>
          </c:tx>
          <c:dPt>
            <c:idx val="0"/>
            <c:spPr>
              <a:solidFill>
                <a:schemeClr val="bg1">
                  <a:lumMod val="85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(2015-2019)'!$G$19:$G$23</c:f>
              <c:numCache>
                <c:formatCode>"$"#,##0_);\("$"#,##0\)</c:formatCode>
                <c:ptCount val="5"/>
                <c:pt idx="0">
                  <c:v>201600</c:v>
                </c:pt>
                <c:pt idx="1">
                  <c:v>148100</c:v>
                </c:pt>
                <c:pt idx="2">
                  <c:v>158600</c:v>
                </c:pt>
                <c:pt idx="3">
                  <c:v>161100</c:v>
                </c:pt>
                <c:pt idx="4">
                  <c:v>167400</c:v>
                </c:pt>
              </c:numCache>
            </c:numRef>
          </c:val>
        </c:ser>
        <c:gapWidth val="55"/>
        <c:overlap val="100"/>
        <c:axId val="87032960"/>
        <c:axId val="87034496"/>
      </c:barChart>
      <c:catAx>
        <c:axId val="87032960"/>
        <c:scaling>
          <c:orientation val="minMax"/>
        </c:scaling>
        <c:axPos val="b"/>
        <c:numFmt formatCode="General" sourceLinked="1"/>
        <c:majorTickMark val="none"/>
        <c:tickLblPos val="nextTo"/>
        <c:txPr>
          <a:bodyPr rot="-5400000" vert="horz"/>
          <a:lstStyle/>
          <a:p>
            <a:pPr>
              <a:defRPr/>
            </a:pPr>
            <a:endParaRPr lang="en-US"/>
          </a:p>
        </c:txPr>
        <c:crossAx val="87034496"/>
        <c:crosses val="autoZero"/>
        <c:auto val="1"/>
        <c:lblAlgn val="ctr"/>
        <c:lblOffset val="100"/>
      </c:catAx>
      <c:valAx>
        <c:axId val="87034496"/>
        <c:scaling>
          <c:orientation val="minMax"/>
        </c:scaling>
        <c:axPos val="l"/>
        <c:majorGridlines/>
        <c:numFmt formatCode="&quot;$&quot;#,##0_);\(&quot;$&quot;#,##0\)" sourceLinked="1"/>
        <c:majorTickMark val="none"/>
        <c:tickLblPos val="nextTo"/>
        <c:crossAx val="87032960"/>
        <c:crosses val="autoZero"/>
        <c:crossBetween val="between"/>
      </c:valAx>
    </c:plotArea>
    <c:legend>
      <c:legendPos val="r"/>
      <c:layout>
        <c:manualLayout>
          <c:xMode val="edge"/>
          <c:yMode val="edge"/>
          <c:x val="0.71588895867366864"/>
          <c:y val="0.33105379943449686"/>
          <c:w val="0.22109326759687031"/>
          <c:h val="0.24540001202139924"/>
        </c:manualLayout>
      </c:layout>
    </c:legend>
    <c:plotVisOnly val="1"/>
    <c:dispBlanksAs val="gap"/>
  </c:chart>
  <c:printSettings>
    <c:headerFooter/>
    <c:pageMargins b="0.75000000000001465" l="0.70000000000000162" r="0.700000000000001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Category</a:t>
            </a:r>
          </a:p>
          <a:p>
            <a:pPr>
              <a:defRPr/>
            </a:pPr>
            <a:r>
              <a:rPr lang="en-US"/>
              <a:t>(Not including Council)</a:t>
            </a:r>
          </a:p>
        </c:rich>
      </c:tx>
    </c:title>
    <c:plotArea>
      <c:layout/>
      <c:barChart>
        <c:barDir val="col"/>
        <c:grouping val="stacked"/>
        <c:ser>
          <c:idx val="2"/>
          <c:order val="0"/>
          <c:tx>
            <c:strRef>
              <c:f>'Category (2015-2019)'!$B$38</c:f>
              <c:strCache>
                <c:ptCount val="1"/>
                <c:pt idx="0">
                  <c:v>RTF Management</c:v>
                </c:pt>
              </c:strCache>
            </c:strRef>
          </c:tx>
          <c:dPt>
            <c:idx val="0"/>
            <c:spPr>
              <a:solidFill>
                <a:schemeClr val="bg1">
                  <a:lumMod val="8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(2015-2019)'!$C$38:$G$38</c:f>
              <c:numCache>
                <c:formatCode>"$"#,##0_);\("$"#,##0\)</c:formatCode>
                <c:ptCount val="5"/>
                <c:pt idx="0">
                  <c:v>320100</c:v>
                </c:pt>
                <c:pt idx="1">
                  <c:v>457500</c:v>
                </c:pt>
                <c:pt idx="2">
                  <c:v>483500</c:v>
                </c:pt>
                <c:pt idx="3">
                  <c:v>503000</c:v>
                </c:pt>
                <c:pt idx="4">
                  <c:v>524200</c:v>
                </c:pt>
              </c:numCache>
            </c:numRef>
          </c:val>
        </c:ser>
        <c:ser>
          <c:idx val="1"/>
          <c:order val="1"/>
          <c:tx>
            <c:strRef>
              <c:f>'Category (2015-2019)'!$B$37</c:f>
              <c:strCache>
                <c:ptCount val="1"/>
                <c:pt idx="0">
                  <c:v>Tools, Research, Data &amp; Regional Coordination</c:v>
                </c:pt>
              </c:strCache>
            </c:strRef>
          </c:tx>
          <c:dPt>
            <c:idx val="0"/>
            <c:spPr>
              <a:solidFill>
                <a:schemeClr val="bg1">
                  <a:lumMod val="50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(2015-2019)'!$C$37:$G$37</c:f>
              <c:numCache>
                <c:formatCode>"$"#,##0_);\("$"#,##0\)</c:formatCode>
                <c:ptCount val="5"/>
                <c:pt idx="0">
                  <c:v>268000</c:v>
                </c:pt>
                <c:pt idx="1">
                  <c:v>220000</c:v>
                </c:pt>
                <c:pt idx="2">
                  <c:v>269000</c:v>
                </c:pt>
                <c:pt idx="3">
                  <c:v>230200</c:v>
                </c:pt>
                <c:pt idx="4">
                  <c:v>235900</c:v>
                </c:pt>
              </c:numCache>
            </c:numRef>
          </c:val>
        </c:ser>
        <c:ser>
          <c:idx val="0"/>
          <c:order val="2"/>
          <c:tx>
            <c:strRef>
              <c:f>'Category (2015-2019)'!$B$36</c:f>
              <c:strCache>
                <c:ptCount val="1"/>
                <c:pt idx="0">
                  <c:v>Measure Review &amp; Technical Analysis</c:v>
                </c:pt>
              </c:strCache>
            </c:strRef>
          </c:tx>
          <c:dPt>
            <c:idx val="0"/>
            <c:spPr>
              <a:solidFill>
                <a:schemeClr val="bg1">
                  <a:lumMod val="7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(2015-2019)'!$C$36:$G$36</c:f>
              <c:numCache>
                <c:formatCode>"$"#,##0_);\("$"#,##0\)</c:formatCode>
                <c:ptCount val="5"/>
                <c:pt idx="0">
                  <c:v>1049500</c:v>
                </c:pt>
                <c:pt idx="1">
                  <c:v>985500</c:v>
                </c:pt>
                <c:pt idx="2">
                  <c:v>1037300</c:v>
                </c:pt>
                <c:pt idx="3">
                  <c:v>1100500</c:v>
                </c:pt>
                <c:pt idx="4">
                  <c:v>1115100</c:v>
                </c:pt>
              </c:numCache>
            </c:numRef>
          </c:val>
        </c:ser>
        <c:overlap val="100"/>
        <c:axId val="87093248"/>
        <c:axId val="87094784"/>
      </c:barChart>
      <c:catAx>
        <c:axId val="87093248"/>
        <c:scaling>
          <c:orientation val="minMax"/>
        </c:scaling>
        <c:axPos val="b"/>
        <c:numFmt formatCode="General" sourceLinked="1"/>
        <c:tickLblPos val="nextTo"/>
        <c:crossAx val="87094784"/>
        <c:crosses val="autoZero"/>
        <c:auto val="1"/>
        <c:lblAlgn val="ctr"/>
        <c:lblOffset val="100"/>
      </c:catAx>
      <c:valAx>
        <c:axId val="87094784"/>
        <c:scaling>
          <c:orientation val="minMax"/>
        </c:scaling>
        <c:axPos val="l"/>
        <c:majorGridlines/>
        <c:numFmt formatCode="&quot;$&quot;#,##0_);\(&quot;$&quot;#,##0\)" sourceLinked="1"/>
        <c:tickLblPos val="nextTo"/>
        <c:crossAx val="87093248"/>
        <c:crosses val="autoZero"/>
        <c:crossBetween val="between"/>
        <c:majorUnit val="200000"/>
      </c:valAx>
    </c:plotArea>
    <c:legend>
      <c:legendPos val="r"/>
      <c:layout>
        <c:manualLayout>
          <c:xMode val="edge"/>
          <c:yMode val="edge"/>
          <c:x val="0.66851531058620062"/>
          <c:y val="0.36263201793653299"/>
          <c:w val="0.31481802274716864"/>
          <c:h val="0.43651645585118232"/>
        </c:manualLayout>
      </c:layout>
    </c:legend>
    <c:plotVisOnly val="1"/>
    <c:dispBlanksAs val="gap"/>
  </c:chart>
  <c:printSettings>
    <c:headerFooter/>
    <c:pageMargins b="0.75000000000001465" l="0.70000000000000162" r="0.700000000000001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Category</a:t>
            </a:r>
          </a:p>
          <a:p>
            <a:pPr>
              <a:defRPr/>
            </a:pPr>
            <a:r>
              <a:rPr lang="en-US"/>
              <a:t>(Including Council)</a:t>
            </a:r>
          </a:p>
        </c:rich>
      </c:tx>
    </c:title>
    <c:plotArea>
      <c:layout/>
      <c:barChart>
        <c:barDir val="col"/>
        <c:grouping val="stacked"/>
        <c:ser>
          <c:idx val="0"/>
          <c:order val="0"/>
          <c:tx>
            <c:strRef>
              <c:f>'Category (2015-2019)'!$B$45</c:f>
              <c:strCache>
                <c:ptCount val="1"/>
                <c:pt idx="0">
                  <c:v>RTF Management</c:v>
                </c:pt>
              </c:strCache>
            </c:strRef>
          </c:tx>
          <c:spPr>
            <a:solidFill>
              <a:schemeClr val="accent3"/>
            </a:solidFill>
          </c:spPr>
          <c:dPt>
            <c:idx val="0"/>
            <c:spPr>
              <a:solidFill>
                <a:schemeClr val="bg1">
                  <a:lumMod val="8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(2015-2019)'!$C$45:$G$45</c:f>
              <c:numCache>
                <c:formatCode>"$"#,##0_);\("$"#,##0\)</c:formatCode>
                <c:ptCount val="5"/>
                <c:pt idx="0">
                  <c:v>467100</c:v>
                </c:pt>
                <c:pt idx="1">
                  <c:v>578000</c:v>
                </c:pt>
                <c:pt idx="2">
                  <c:v>609700</c:v>
                </c:pt>
                <c:pt idx="3">
                  <c:v>634300</c:v>
                </c:pt>
                <c:pt idx="4">
                  <c:v>661100</c:v>
                </c:pt>
              </c:numCache>
            </c:numRef>
          </c:val>
        </c:ser>
        <c:ser>
          <c:idx val="1"/>
          <c:order val="1"/>
          <c:tx>
            <c:strRef>
              <c:f>'Category (2015-2019)'!$B$44</c:f>
              <c:strCache>
                <c:ptCount val="1"/>
                <c:pt idx="0">
                  <c:v>Tools, Research, Data &amp; Regional Coordination</c:v>
                </c:pt>
              </c:strCache>
            </c:strRef>
          </c:tx>
          <c:dPt>
            <c:idx val="0"/>
            <c:spPr>
              <a:solidFill>
                <a:schemeClr val="bg1">
                  <a:lumMod val="50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(2015-2019)'!$C$44:$G$44</c:f>
              <c:numCache>
                <c:formatCode>"$"#,##0_);\("$"#,##0\)</c:formatCode>
                <c:ptCount val="5"/>
                <c:pt idx="0">
                  <c:v>307000</c:v>
                </c:pt>
                <c:pt idx="1">
                  <c:v>236000</c:v>
                </c:pt>
                <c:pt idx="2">
                  <c:v>289500</c:v>
                </c:pt>
                <c:pt idx="3">
                  <c:v>246700</c:v>
                </c:pt>
                <c:pt idx="4">
                  <c:v>252800</c:v>
                </c:pt>
              </c:numCache>
            </c:numRef>
          </c:val>
        </c:ser>
        <c:ser>
          <c:idx val="2"/>
          <c:order val="2"/>
          <c:tx>
            <c:strRef>
              <c:f>'Category (2015-2019)'!$B$43</c:f>
              <c:strCache>
                <c:ptCount val="1"/>
                <c:pt idx="0">
                  <c:v>Measure Review &amp; Technical Analysis</c:v>
                </c:pt>
              </c:strCache>
            </c:strRef>
          </c:tx>
          <c:spPr>
            <a:solidFill>
              <a:schemeClr val="accent1"/>
            </a:solidFill>
          </c:spPr>
          <c:dPt>
            <c:idx val="0"/>
            <c:spPr>
              <a:solidFill>
                <a:schemeClr val="bg1">
                  <a:lumMod val="6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(2015-2019)'!$C$43:$G$43</c:f>
              <c:numCache>
                <c:formatCode>"$"#,##0_);\("$"#,##0\)</c:formatCode>
                <c:ptCount val="5"/>
                <c:pt idx="0">
                  <c:v>1065100</c:v>
                </c:pt>
                <c:pt idx="1">
                  <c:v>997100</c:v>
                </c:pt>
                <c:pt idx="2">
                  <c:v>1049200</c:v>
                </c:pt>
                <c:pt idx="3">
                  <c:v>1113800</c:v>
                </c:pt>
                <c:pt idx="4">
                  <c:v>1128700</c:v>
                </c:pt>
              </c:numCache>
            </c:numRef>
          </c:val>
        </c:ser>
        <c:overlap val="100"/>
        <c:axId val="87207936"/>
        <c:axId val="87209472"/>
      </c:barChart>
      <c:catAx>
        <c:axId val="87207936"/>
        <c:scaling>
          <c:orientation val="minMax"/>
        </c:scaling>
        <c:axPos val="b"/>
        <c:numFmt formatCode="General" sourceLinked="1"/>
        <c:tickLblPos val="nextTo"/>
        <c:crossAx val="87209472"/>
        <c:crosses val="autoZero"/>
        <c:auto val="1"/>
        <c:lblAlgn val="ctr"/>
        <c:lblOffset val="100"/>
      </c:catAx>
      <c:valAx>
        <c:axId val="87209472"/>
        <c:scaling>
          <c:orientation val="minMax"/>
        </c:scaling>
        <c:axPos val="l"/>
        <c:majorGridlines/>
        <c:numFmt formatCode="&quot;$&quot;#,##0_);\(&quot;$&quot;#,##0\)" sourceLinked="1"/>
        <c:tickLblPos val="nextTo"/>
        <c:crossAx val="87207936"/>
        <c:crosses val="autoZero"/>
        <c:crossBetween val="between"/>
      </c:valAx>
    </c:plotArea>
    <c:legend>
      <c:legendPos val="r"/>
      <c:layout>
        <c:manualLayout>
          <c:xMode val="edge"/>
          <c:yMode val="edge"/>
          <c:x val="0.66851531058620062"/>
          <c:y val="0.39761744067706489"/>
          <c:w val="0.31481802274716864"/>
          <c:h val="0.44429099423796531"/>
        </c:manualLayout>
      </c:layout>
    </c:legend>
    <c:plotVisOnly val="1"/>
    <c:dispBlanksAs val="gap"/>
  </c:chart>
  <c:printSettings>
    <c:headerFooter/>
    <c:pageMargins b="0.75000000000001465" l="0.70000000000000162" r="0.700000000000001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Shares'!$A$34:$A$46</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Shares'!$B$34:$B$46</c:f>
              <c:numCache>
                <c:formatCode>0.00%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Val val="1"/>
          <c:showCatName val="1"/>
        </c:dLbls>
        <c:firstSliceAng val="0"/>
      </c:pieChart>
    </c:plotArea>
    <c:plotVisOnly val="1"/>
    <c:dispBlanksAs val="zero"/>
  </c:chart>
  <c:printSettings>
    <c:headerFooter/>
    <c:pageMargins b="0.7500000000000111" l="0.70000000000000162" r="0.70000000000000162" t="0.75000000000001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Shares'!$A$7:$A$19</c:f>
              <c:strCache>
                <c:ptCount val="13"/>
                <c:pt idx="0">
                  <c:v>Bonneville Power Administration</c:v>
                </c:pt>
                <c:pt idx="1">
                  <c:v>Energy Trust of Oregon</c:v>
                </c:pt>
                <c:pt idx="2">
                  <c:v>Puget Sound Energy</c:v>
                </c:pt>
                <c:pt idx="3">
                  <c:v>Idaho Power Company</c:v>
                </c:pt>
                <c:pt idx="4">
                  <c:v>Avista Corporation, Inc</c:v>
                </c:pt>
                <c:pt idx="5">
                  <c:v>PacifiCorp (Washington)</c:v>
                </c:pt>
                <c:pt idx="6">
                  <c:v>Northwestern Energy</c:v>
                </c:pt>
                <c:pt idx="7">
                  <c:v>Seattle City Light</c:v>
                </c:pt>
                <c:pt idx="8">
                  <c:v>PUD No 1 of Clark County</c:v>
                </c:pt>
                <c:pt idx="9">
                  <c:v>Tacoma Power</c:v>
                </c:pt>
                <c:pt idx="10">
                  <c:v>Snohomish County PUD</c:v>
                </c:pt>
                <c:pt idx="11">
                  <c:v>Eugene Water and Electric</c:v>
                </c:pt>
                <c:pt idx="12">
                  <c:v>PUD No 1 of Cowlitz County</c:v>
                </c:pt>
              </c:strCache>
            </c:strRef>
          </c:cat>
          <c:val>
            <c:numRef>
              <c:f>'Funding Shares'!$B$7:$B$19</c:f>
              <c:numCache>
                <c:formatCode>0.00%</c:formatCode>
                <c:ptCount val="13"/>
                <c:pt idx="0">
                  <c:v>0.36042000000000002</c:v>
                </c:pt>
                <c:pt idx="1">
                  <c:v>0.20146</c:v>
                </c:pt>
                <c:pt idx="2">
                  <c:v>0.14138999999999999</c:v>
                </c:pt>
                <c:pt idx="3">
                  <c:v>8.9660000000000004E-2</c:v>
                </c:pt>
                <c:pt idx="4">
                  <c:v>5.7419999999999999E-2</c:v>
                </c:pt>
                <c:pt idx="5">
                  <c:v>2.5430000000000001E-2</c:v>
                </c:pt>
                <c:pt idx="6">
                  <c:v>4.0349999999999997E-2</c:v>
                </c:pt>
                <c:pt idx="7">
                  <c:v>3.6549999999999999E-2</c:v>
                </c:pt>
                <c:pt idx="8">
                  <c:v>1.3140000000000001E-2</c:v>
                </c:pt>
                <c:pt idx="9">
                  <c:v>1.0959999999999999E-2</c:v>
                </c:pt>
                <c:pt idx="10">
                  <c:v>6.5399999999999998E-3</c:v>
                </c:pt>
                <c:pt idx="11">
                  <c:v>3.1700000000000001E-3</c:v>
                </c:pt>
                <c:pt idx="12">
                  <c:v>3.8300000000000001E-3</c:v>
                </c:pt>
              </c:numCache>
            </c:numRef>
          </c:val>
        </c:ser>
        <c:dLbls>
          <c:showVal val="1"/>
          <c:showCatName val="1"/>
        </c:dLbls>
        <c:firstSliceAng val="0"/>
      </c:pieChart>
    </c:plotArea>
    <c:plotVisOnly val="1"/>
    <c:dispBlanksAs val="zero"/>
  </c:chart>
  <c:printSettings>
    <c:headerFooter/>
    <c:pageMargins b="0.7500000000000121" l="0.70000000000000162" r="0.700000000000001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RFP Allocation</a:t>
            </a:r>
          </a:p>
        </c:rich>
      </c:tx>
      <c:layout/>
      <c:overlay val="1"/>
    </c:title>
    <c:plotArea>
      <c:layout/>
      <c:barChart>
        <c:barDir val="col"/>
        <c:grouping val="stacked"/>
        <c:ser>
          <c:idx val="8"/>
          <c:order val="0"/>
          <c:tx>
            <c:strRef>
              <c:f>'Category (2016)'!$B$14</c:f>
              <c:strCache>
                <c:ptCount val="1"/>
                <c:pt idx="0">
                  <c:v>RTF Management</c:v>
                </c:pt>
              </c:strCache>
            </c:strRef>
          </c:tx>
          <c:cat>
            <c:numLit>
              <c:formatCode>General</c:formatCode>
              <c:ptCount val="3"/>
              <c:pt idx="0">
                <c:v>2014</c:v>
              </c:pt>
              <c:pt idx="1">
                <c:v>2015</c:v>
              </c:pt>
              <c:pt idx="2">
                <c:v>2016</c:v>
              </c:pt>
            </c:numLit>
          </c:cat>
          <c:val>
            <c:numRef>
              <c:f>('Category (2016)'!$Q$14,'Category (2016)'!$J$14,'Category (2016)'!$C$14)</c:f>
              <c:numCache>
                <c:formatCode>"$"#,##0_);\("$"#,##0\)</c:formatCode>
                <c:ptCount val="3"/>
                <c:pt idx="0">
                  <c:v>4000</c:v>
                </c:pt>
                <c:pt idx="1">
                  <c:v>8300</c:v>
                </c:pt>
                <c:pt idx="2">
                  <c:v>8300</c:v>
                </c:pt>
              </c:numCache>
            </c:numRef>
          </c:val>
        </c:ser>
        <c:ser>
          <c:idx val="7"/>
          <c:order val="1"/>
          <c:tx>
            <c:strRef>
              <c:f>'Category (2016)'!$B$13</c:f>
              <c:strCache>
                <c:ptCount val="1"/>
                <c:pt idx="0">
                  <c:v>RTF Member Support &amp; Administration</c:v>
                </c:pt>
              </c:strCache>
            </c:strRef>
          </c:tx>
          <c:cat>
            <c:numLit>
              <c:formatCode>General</c:formatCode>
              <c:ptCount val="3"/>
              <c:pt idx="0">
                <c:v>2014</c:v>
              </c:pt>
              <c:pt idx="1">
                <c:v>2015</c:v>
              </c:pt>
              <c:pt idx="2">
                <c:v>2016</c:v>
              </c:pt>
            </c:numLit>
          </c:cat>
          <c:val>
            <c:numRef>
              <c:f>('Category (2016)'!$Q$13,'Category (2016)'!$J$13,'Category (2016)'!$C$13)</c:f>
              <c:numCache>
                <c:formatCode>"$"#,##0_);\("$"#,##0\)</c:formatCode>
                <c:ptCount val="3"/>
                <c:pt idx="0">
                  <c:v>145000</c:v>
                </c:pt>
                <c:pt idx="1">
                  <c:v>146800</c:v>
                </c:pt>
                <c:pt idx="2">
                  <c:v>169200</c:v>
                </c:pt>
              </c:numCache>
            </c:numRef>
          </c:val>
        </c:ser>
        <c:ser>
          <c:idx val="6"/>
          <c:order val="2"/>
          <c:tx>
            <c:strRef>
              <c:f>'Category (2016)'!$B$12</c:f>
              <c:strCache>
                <c:ptCount val="1"/>
                <c:pt idx="0">
                  <c:v>Website, Database support, Conservation Tracking </c:v>
                </c:pt>
              </c:strCache>
            </c:strRef>
          </c:tx>
          <c:cat>
            <c:numLit>
              <c:formatCode>General</c:formatCode>
              <c:ptCount val="3"/>
              <c:pt idx="0">
                <c:v>2014</c:v>
              </c:pt>
              <c:pt idx="1">
                <c:v>2015</c:v>
              </c:pt>
              <c:pt idx="2">
                <c:v>2016</c:v>
              </c:pt>
            </c:numLit>
          </c:cat>
          <c:val>
            <c:numRef>
              <c:f>('Category (2016)'!$Q$12,'Category (2016)'!$J$12,'Category (2016)'!$C$12)</c:f>
              <c:numCache>
                <c:formatCode>"$"#,##0_);\("$"#,##0\)</c:formatCode>
                <c:ptCount val="3"/>
                <c:pt idx="0">
                  <c:v>25000</c:v>
                </c:pt>
                <c:pt idx="1">
                  <c:v>20000</c:v>
                </c:pt>
                <c:pt idx="2">
                  <c:v>60000</c:v>
                </c:pt>
              </c:numCache>
            </c:numRef>
          </c:val>
        </c:ser>
        <c:ser>
          <c:idx val="5"/>
          <c:order val="3"/>
          <c:tx>
            <c:strRef>
              <c:f>'Category (2016)'!$B$11</c:f>
              <c:strCache>
                <c:ptCount val="1"/>
                <c:pt idx="0">
                  <c:v>Regional Coordination (Research and Data Development)</c:v>
                </c:pt>
              </c:strCache>
            </c:strRef>
          </c:tx>
          <c:cat>
            <c:numLit>
              <c:formatCode>General</c:formatCode>
              <c:ptCount val="3"/>
              <c:pt idx="0">
                <c:v>2014</c:v>
              </c:pt>
              <c:pt idx="1">
                <c:v>2015</c:v>
              </c:pt>
              <c:pt idx="2">
                <c:v>2016</c:v>
              </c:pt>
            </c:numLit>
          </c:cat>
          <c:val>
            <c:numRef>
              <c:f>('Category (2016)'!$Q$11,'Category (2016)'!$J$11,'Category (2016)'!$C$11)</c:f>
              <c:numCache>
                <c:formatCode>"$"#,##0_);\("$"#,##0\)</c:formatCode>
                <c:ptCount val="3"/>
                <c:pt idx="0">
                  <c:v>12500</c:v>
                </c:pt>
                <c:pt idx="1">
                  <c:v>12500</c:v>
                </c:pt>
                <c:pt idx="2">
                  <c:v>15000</c:v>
                </c:pt>
              </c:numCache>
            </c:numRef>
          </c:val>
        </c:ser>
        <c:ser>
          <c:idx val="4"/>
          <c:order val="4"/>
          <c:tx>
            <c:strRef>
              <c:f>'Category (2016)'!$B$10</c:f>
              <c:strCache>
                <c:ptCount val="1"/>
                <c:pt idx="0">
                  <c:v>Research Projects &amp; Data Development</c:v>
                </c:pt>
              </c:strCache>
            </c:strRef>
          </c:tx>
          <c:cat>
            <c:numLit>
              <c:formatCode>General</c:formatCode>
              <c:ptCount val="3"/>
              <c:pt idx="0">
                <c:v>2014</c:v>
              </c:pt>
              <c:pt idx="1">
                <c:v>2015</c:v>
              </c:pt>
              <c:pt idx="2">
                <c:v>2016</c:v>
              </c:pt>
            </c:numLit>
          </c:cat>
          <c:val>
            <c:numRef>
              <c:f>('Category (2016)'!$Q$10,'Category (2016)'!$J$10,'Category (2016)'!$C$10)</c:f>
              <c:numCache>
                <c:formatCode>"$"#,##0_);\("$"#,##0\)</c:formatCode>
                <c:ptCount val="3"/>
                <c:pt idx="0">
                  <c:v>60000</c:v>
                </c:pt>
                <c:pt idx="1">
                  <c:v>0</c:v>
                </c:pt>
                <c:pt idx="2">
                  <c:v>0</c:v>
                </c:pt>
              </c:numCache>
            </c:numRef>
          </c:val>
        </c:ser>
        <c:ser>
          <c:idx val="3"/>
          <c:order val="5"/>
          <c:tx>
            <c:strRef>
              <c:f>'Category (2016)'!$B$9</c:f>
              <c:strCache>
                <c:ptCount val="1"/>
                <c:pt idx="0">
                  <c:v>Tool Development</c:v>
                </c:pt>
              </c:strCache>
            </c:strRef>
          </c:tx>
          <c:cat>
            <c:numLit>
              <c:formatCode>General</c:formatCode>
              <c:ptCount val="3"/>
              <c:pt idx="0">
                <c:v>2014</c:v>
              </c:pt>
              <c:pt idx="1">
                <c:v>2015</c:v>
              </c:pt>
              <c:pt idx="2">
                <c:v>2016</c:v>
              </c:pt>
            </c:numLit>
          </c:cat>
          <c:val>
            <c:numRef>
              <c:f>('Category (2016)'!$Q$9,'Category (2016)'!$J$9,'Category (2016)'!$C$9)</c:f>
              <c:numCache>
                <c:formatCode>"$"#,##0_);\("$"#,##0\)</c:formatCode>
                <c:ptCount val="3"/>
                <c:pt idx="0">
                  <c:v>65000</c:v>
                </c:pt>
                <c:pt idx="1">
                  <c:v>10500</c:v>
                </c:pt>
                <c:pt idx="2">
                  <c:v>10000</c:v>
                </c:pt>
              </c:numCache>
            </c:numRef>
          </c:val>
        </c:ser>
        <c:ser>
          <c:idx val="2"/>
          <c:order val="6"/>
          <c:tx>
            <c:strRef>
              <c:f>'Category (2016)'!$B$8</c:f>
              <c:strCache>
                <c:ptCount val="1"/>
                <c:pt idx="0">
                  <c:v>Standardization of Technical Analysis</c:v>
                </c:pt>
              </c:strCache>
            </c:strRef>
          </c:tx>
          <c:cat>
            <c:numLit>
              <c:formatCode>General</c:formatCode>
              <c:ptCount val="3"/>
              <c:pt idx="0">
                <c:v>2014</c:v>
              </c:pt>
              <c:pt idx="1">
                <c:v>2015</c:v>
              </c:pt>
              <c:pt idx="2">
                <c:v>2016</c:v>
              </c:pt>
            </c:numLit>
          </c:cat>
          <c:val>
            <c:numRef>
              <c:f>('Category (2016)'!$Q$8,'Category (2016)'!$J$8,'Category (2016)'!$C$8)</c:f>
              <c:numCache>
                <c:formatCode>"$"#,##0_);\("$"#,##0\)</c:formatCode>
                <c:ptCount val="3"/>
                <c:pt idx="0">
                  <c:v>40000</c:v>
                </c:pt>
                <c:pt idx="1">
                  <c:v>25000</c:v>
                </c:pt>
                <c:pt idx="2">
                  <c:v>30000</c:v>
                </c:pt>
              </c:numCache>
            </c:numRef>
          </c:val>
        </c:ser>
        <c:ser>
          <c:idx val="1"/>
          <c:order val="7"/>
          <c:tx>
            <c:strRef>
              <c:f>'Category (2016)'!$B$7</c:f>
              <c:strCache>
                <c:ptCount val="1"/>
                <c:pt idx="0">
                  <c:v>New Measure Development &amp; Review of Unsolicited Proposals</c:v>
                </c:pt>
              </c:strCache>
            </c:strRef>
          </c:tx>
          <c:cat>
            <c:numLit>
              <c:formatCode>General</c:formatCode>
              <c:ptCount val="3"/>
              <c:pt idx="0">
                <c:v>2014</c:v>
              </c:pt>
              <c:pt idx="1">
                <c:v>2015</c:v>
              </c:pt>
              <c:pt idx="2">
                <c:v>2016</c:v>
              </c:pt>
            </c:numLit>
          </c:cat>
          <c:val>
            <c:numRef>
              <c:f>('Category (2016)'!$Q$7,'Category (2016)'!$J$7,'Category (2016)'!$C$7)</c:f>
              <c:numCache>
                <c:formatCode>"$"#,##0_);\("$"#,##0\)</c:formatCode>
                <c:ptCount val="3"/>
                <c:pt idx="0">
                  <c:v>65000</c:v>
                </c:pt>
                <c:pt idx="1">
                  <c:v>90000</c:v>
                </c:pt>
                <c:pt idx="2">
                  <c:v>88000</c:v>
                </c:pt>
              </c:numCache>
            </c:numRef>
          </c:val>
        </c:ser>
        <c:ser>
          <c:idx val="0"/>
          <c:order val="8"/>
          <c:tx>
            <c:strRef>
              <c:f>'Category (2016)'!$B$6</c:f>
              <c:strCache>
                <c:ptCount val="1"/>
                <c:pt idx="0">
                  <c:v>Existing Measure Review &amp; Updates</c:v>
                </c:pt>
              </c:strCache>
            </c:strRef>
          </c:tx>
          <c:cat>
            <c:numLit>
              <c:formatCode>General</c:formatCode>
              <c:ptCount val="3"/>
              <c:pt idx="0">
                <c:v>2014</c:v>
              </c:pt>
              <c:pt idx="1">
                <c:v>2015</c:v>
              </c:pt>
              <c:pt idx="2">
                <c:v>2016</c:v>
              </c:pt>
            </c:numLit>
          </c:cat>
          <c:val>
            <c:numRef>
              <c:f>('Category (2016)'!$Q$6,'Category (2016)'!$J$6,'Category (2016)'!$C$6)</c:f>
              <c:numCache>
                <c:formatCode>"$"#,##0_);\("$"#,##0\)</c:formatCode>
                <c:ptCount val="3"/>
                <c:pt idx="0">
                  <c:v>65500</c:v>
                </c:pt>
                <c:pt idx="1">
                  <c:v>112500</c:v>
                </c:pt>
                <c:pt idx="2">
                  <c:v>127500</c:v>
                </c:pt>
              </c:numCache>
            </c:numRef>
          </c:val>
        </c:ser>
        <c:overlap val="100"/>
        <c:axId val="57609600"/>
        <c:axId val="57615488"/>
      </c:barChart>
      <c:catAx>
        <c:axId val="57609600"/>
        <c:scaling>
          <c:orientation val="minMax"/>
        </c:scaling>
        <c:axPos val="b"/>
        <c:numFmt formatCode="General" sourceLinked="1"/>
        <c:tickLblPos val="nextTo"/>
        <c:txPr>
          <a:bodyPr/>
          <a:lstStyle/>
          <a:p>
            <a:pPr>
              <a:defRPr sz="1800" b="1"/>
            </a:pPr>
            <a:endParaRPr lang="en-US"/>
          </a:p>
        </c:txPr>
        <c:crossAx val="57615488"/>
        <c:crosses val="autoZero"/>
        <c:auto val="1"/>
        <c:lblAlgn val="ctr"/>
        <c:lblOffset val="100"/>
      </c:catAx>
      <c:valAx>
        <c:axId val="57615488"/>
        <c:scaling>
          <c:orientation val="minMax"/>
        </c:scaling>
        <c:axPos val="l"/>
        <c:numFmt formatCode="&quot;$&quot;#,##0_);\(&quot;$&quot;#,##0\)" sourceLinked="1"/>
        <c:tickLblPos val="nextTo"/>
        <c:txPr>
          <a:bodyPr/>
          <a:lstStyle/>
          <a:p>
            <a:pPr>
              <a:defRPr sz="1200"/>
            </a:pPr>
            <a:endParaRPr lang="en-US"/>
          </a:p>
        </c:txPr>
        <c:crossAx val="57609600"/>
        <c:crosses val="autoZero"/>
        <c:crossBetween val="between"/>
      </c:valAx>
    </c:plotArea>
    <c:legend>
      <c:legendPos val="r"/>
      <c:layout/>
      <c:txPr>
        <a:bodyPr/>
        <a:lstStyle/>
        <a:p>
          <a:pPr>
            <a:defRPr sz="1400"/>
          </a:pPr>
          <a:endParaRPr lang="en-US"/>
        </a:p>
      </c:txPr>
    </c:legend>
    <c:plotVisOnly val="1"/>
    <c:dispBlanksAs val="gap"/>
  </c:chart>
  <c:printSettings>
    <c:headerFooter/>
    <c:pageMargins b="0.7500000000000121" l="0.70000000000000162" r="0.70000000000000162" t="0.7500000000000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mn-lt"/>
                <a:ea typeface="+mn-ea"/>
                <a:cs typeface="+mn-cs"/>
              </a:defRPr>
            </a:pPr>
            <a:r>
              <a:rPr lang="en-US" sz="1800" b="1" i="0" baseline="0"/>
              <a:t>Contract Analyst vs. Contract RFP: By Category</a:t>
            </a:r>
            <a:endParaRPr lang="en-US"/>
          </a:p>
        </c:rich>
      </c:tx>
    </c:title>
    <c:plotArea>
      <c:layout/>
      <c:barChart>
        <c:barDir val="col"/>
        <c:grouping val="stacked"/>
        <c:ser>
          <c:idx val="0"/>
          <c:order val="0"/>
          <c:tx>
            <c:strRef>
              <c:f>'Category (2016)'!$W$6</c:f>
              <c:strCache>
                <c:ptCount val="1"/>
                <c:pt idx="0">
                  <c:v>Technical Analysis</c:v>
                </c:pt>
              </c:strCache>
            </c:strRef>
          </c:tx>
          <c:cat>
            <c:strRef>
              <c:f>('Category (2016)'!$X$5:$Y$5,'Category (2016)'!$AB$5:$AC$5,'Category (2016)'!$AG$5:$AH$5)</c:f>
              <c:strCache>
                <c:ptCount val="6"/>
                <c:pt idx="0">
                  <c:v>Contract RFP 
2014</c:v>
                </c:pt>
                <c:pt idx="1">
                  <c:v>RTF Contract Team and RTF Manager
2014</c:v>
                </c:pt>
                <c:pt idx="2">
                  <c:v>Contract RFP
2015</c:v>
                </c:pt>
                <c:pt idx="3">
                  <c:v>RTF Contract Analyst Team 
2015</c:v>
                </c:pt>
                <c:pt idx="4">
                  <c:v>Contract RFP
2016</c:v>
                </c:pt>
                <c:pt idx="5">
                  <c:v>RTF Contract Analyst Team 
2016</c:v>
                </c:pt>
              </c:strCache>
            </c:strRef>
          </c:cat>
          <c:val>
            <c:numRef>
              <c:f>('Category (2016)'!$X$6:$Y$6,'Category (2016)'!$AB$6:$AC$6,'Category (2016)'!$AG$6:$AH$6)</c:f>
              <c:numCache>
                <c:formatCode>"$"#,##0_);\("$"#,##0\)</c:formatCode>
                <c:ptCount val="6"/>
                <c:pt idx="0">
                  <c:v>170500</c:v>
                </c:pt>
                <c:pt idx="1">
                  <c:v>569000</c:v>
                </c:pt>
                <c:pt idx="2">
                  <c:v>227500</c:v>
                </c:pt>
                <c:pt idx="3">
                  <c:v>822000</c:v>
                </c:pt>
                <c:pt idx="4">
                  <c:v>245500</c:v>
                </c:pt>
                <c:pt idx="5">
                  <c:v>740000</c:v>
                </c:pt>
              </c:numCache>
            </c:numRef>
          </c:val>
        </c:ser>
        <c:ser>
          <c:idx val="4"/>
          <c:order val="1"/>
          <c:tx>
            <c:strRef>
              <c:f>'Category (2016)'!$W$9</c:f>
              <c:strCache>
                <c:ptCount val="1"/>
                <c:pt idx="0">
                  <c:v>Tool Development, Research, Regional Coordination </c:v>
                </c:pt>
              </c:strCache>
            </c:strRef>
          </c:tx>
          <c:spPr>
            <a:solidFill>
              <a:schemeClr val="accent1">
                <a:lumMod val="20000"/>
                <a:lumOff val="80000"/>
              </a:schemeClr>
            </a:solidFill>
          </c:spPr>
          <c:cat>
            <c:strRef>
              <c:f>('Category (2016)'!$X$5:$Y$5,'Category (2016)'!$AB$5:$AC$5,'Category (2016)'!$AG$5:$AH$5)</c:f>
              <c:strCache>
                <c:ptCount val="6"/>
                <c:pt idx="0">
                  <c:v>Contract RFP 
2014</c:v>
                </c:pt>
                <c:pt idx="1">
                  <c:v>RTF Contract Team and RTF Manager
2014</c:v>
                </c:pt>
                <c:pt idx="2">
                  <c:v>Contract RFP
2015</c:v>
                </c:pt>
                <c:pt idx="3">
                  <c:v>RTF Contract Analyst Team 
2015</c:v>
                </c:pt>
                <c:pt idx="4">
                  <c:v>Contract RFP
2016</c:v>
                </c:pt>
                <c:pt idx="5">
                  <c:v>RTF Contract Analyst Team 
2016</c:v>
                </c:pt>
              </c:strCache>
            </c:strRef>
          </c:cat>
          <c:val>
            <c:numRef>
              <c:f>('Category (2016)'!$X$9:$Y$9,'Category (2016)'!$AB$9:$AC$9,'Category (2016)'!$AG$9:$AH$9)</c:f>
              <c:numCache>
                <c:formatCode>"$"#,##0_);\("$"#,##0\)</c:formatCode>
                <c:ptCount val="6"/>
                <c:pt idx="0">
                  <c:v>137500</c:v>
                </c:pt>
                <c:pt idx="1">
                  <c:v>186000</c:v>
                </c:pt>
                <c:pt idx="2">
                  <c:v>23000</c:v>
                </c:pt>
                <c:pt idx="3">
                  <c:v>245000</c:v>
                </c:pt>
                <c:pt idx="4">
                  <c:v>25000</c:v>
                </c:pt>
                <c:pt idx="5">
                  <c:v>195000</c:v>
                </c:pt>
              </c:numCache>
            </c:numRef>
          </c:val>
        </c:ser>
        <c:ser>
          <c:idx val="6"/>
          <c:order val="2"/>
          <c:tx>
            <c:strRef>
              <c:f>'Category (2016)'!$W$12</c:f>
              <c:strCache>
                <c:ptCount val="1"/>
                <c:pt idx="0">
                  <c:v>Administration</c:v>
                </c:pt>
              </c:strCache>
            </c:strRef>
          </c:tx>
          <c:spPr>
            <a:solidFill>
              <a:schemeClr val="accent5">
                <a:lumMod val="60000"/>
                <a:lumOff val="40000"/>
              </a:schemeClr>
            </a:solidFill>
          </c:spPr>
          <c:cat>
            <c:strRef>
              <c:f>('Category (2016)'!$X$5:$Y$5,'Category (2016)'!$AB$5:$AC$5,'Category (2016)'!$AG$5:$AH$5)</c:f>
              <c:strCache>
                <c:ptCount val="6"/>
                <c:pt idx="0">
                  <c:v>Contract RFP 
2014</c:v>
                </c:pt>
                <c:pt idx="1">
                  <c:v>RTF Contract Team and RTF Manager
2014</c:v>
                </c:pt>
                <c:pt idx="2">
                  <c:v>Contract RFP
2015</c:v>
                </c:pt>
                <c:pt idx="3">
                  <c:v>RTF Contract Analyst Team 
2015</c:v>
                </c:pt>
                <c:pt idx="4">
                  <c:v>Contract RFP
2016</c:v>
                </c:pt>
                <c:pt idx="5">
                  <c:v>RTF Contract Analyst Team 
2016</c:v>
                </c:pt>
              </c:strCache>
            </c:strRef>
          </c:cat>
          <c:val>
            <c:numRef>
              <c:f>('Category (2016)'!$X$12:$Y$12,'Category (2016)'!$AB$12:$AC$12,'Category (2016)'!$AG$12:$AH$12)</c:f>
              <c:numCache>
                <c:formatCode>"$"#,##0_);\("$"#,##0\)</c:formatCode>
                <c:ptCount val="6"/>
                <c:pt idx="0">
                  <c:v>174000</c:v>
                </c:pt>
                <c:pt idx="1">
                  <c:v>236000</c:v>
                </c:pt>
                <c:pt idx="2">
                  <c:v>175100</c:v>
                </c:pt>
                <c:pt idx="3">
                  <c:v>20000</c:v>
                </c:pt>
                <c:pt idx="4">
                  <c:v>237500</c:v>
                </c:pt>
                <c:pt idx="5">
                  <c:v>85000</c:v>
                </c:pt>
              </c:numCache>
            </c:numRef>
          </c:val>
        </c:ser>
        <c:gapWidth val="55"/>
        <c:overlap val="100"/>
        <c:axId val="57637120"/>
        <c:axId val="57671680"/>
      </c:barChart>
      <c:catAx>
        <c:axId val="57637120"/>
        <c:scaling>
          <c:orientation val="minMax"/>
        </c:scaling>
        <c:axPos val="b"/>
        <c:majorTickMark val="none"/>
        <c:tickLblPos val="nextTo"/>
        <c:crossAx val="57671680"/>
        <c:crosses val="autoZero"/>
        <c:auto val="1"/>
        <c:lblAlgn val="ctr"/>
        <c:lblOffset val="100"/>
      </c:catAx>
      <c:valAx>
        <c:axId val="57671680"/>
        <c:scaling>
          <c:orientation val="minMax"/>
        </c:scaling>
        <c:axPos val="l"/>
        <c:majorGridlines/>
        <c:numFmt formatCode="&quot;$&quot;#,##0_);\(&quot;$&quot;#,##0\)" sourceLinked="1"/>
        <c:majorTickMark val="none"/>
        <c:tickLblPos val="nextTo"/>
        <c:crossAx val="57637120"/>
        <c:crosses val="autoZero"/>
        <c:crossBetween val="between"/>
      </c:valAx>
    </c:plotArea>
    <c:legend>
      <c:legendPos val="r"/>
    </c:legend>
    <c:plotVisOnly val="1"/>
    <c:dispBlanksAs val="gap"/>
  </c:chart>
  <c:txPr>
    <a:bodyPr/>
    <a:lstStyle/>
    <a:p>
      <a:pPr>
        <a:defRPr sz="1200"/>
      </a:pPr>
      <a:endParaRPr lang="en-US"/>
    </a:p>
  </c:txPr>
  <c:printSettings>
    <c:headerFooter/>
    <c:pageMargins b="0.7500000000000101" l="0.70000000000000162" r="0.70000000000000162" t="0.75000000000001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Contract Analyst vs. Contract RFP: Overall</a:t>
            </a:r>
          </a:p>
        </c:rich>
      </c:tx>
    </c:title>
    <c:plotArea>
      <c:layout/>
      <c:barChart>
        <c:barDir val="col"/>
        <c:grouping val="stacked"/>
        <c:ser>
          <c:idx val="0"/>
          <c:order val="0"/>
          <c:tx>
            <c:strRef>
              <c:f>'Category (2016)'!$AM$6</c:f>
              <c:strCache>
                <c:ptCount val="1"/>
                <c:pt idx="0">
                  <c:v>Contract RFP</c:v>
                </c:pt>
              </c:strCache>
            </c:strRef>
          </c:tx>
          <c:cat>
            <c:numRef>
              <c:f>'Category (2016)'!$AN$5:$AP$5</c:f>
              <c:numCache>
                <c:formatCode>General</c:formatCode>
                <c:ptCount val="3"/>
                <c:pt idx="0">
                  <c:v>2014</c:v>
                </c:pt>
                <c:pt idx="1">
                  <c:v>2015</c:v>
                </c:pt>
                <c:pt idx="2">
                  <c:v>2015</c:v>
                </c:pt>
              </c:numCache>
            </c:numRef>
          </c:cat>
          <c:val>
            <c:numRef>
              <c:f>'Category (2016)'!$AN$6:$AP$6</c:f>
              <c:numCache>
                <c:formatCode>"$"#,##0_);\("$"#,##0\)</c:formatCode>
                <c:ptCount val="3"/>
                <c:pt idx="0">
                  <c:v>482000</c:v>
                </c:pt>
                <c:pt idx="1">
                  <c:v>425600</c:v>
                </c:pt>
                <c:pt idx="2">
                  <c:v>508000</c:v>
                </c:pt>
              </c:numCache>
            </c:numRef>
          </c:val>
        </c:ser>
        <c:ser>
          <c:idx val="1"/>
          <c:order val="1"/>
          <c:tx>
            <c:strRef>
              <c:f>'Category (2016)'!$AM$7</c:f>
              <c:strCache>
                <c:ptCount val="1"/>
                <c:pt idx="0">
                  <c:v>Contract Analysts</c:v>
                </c:pt>
              </c:strCache>
            </c:strRef>
          </c:tx>
          <c:spPr>
            <a:solidFill>
              <a:schemeClr val="accent1">
                <a:lumMod val="40000"/>
                <a:lumOff val="60000"/>
              </a:schemeClr>
            </a:solidFill>
          </c:spPr>
          <c:cat>
            <c:numRef>
              <c:f>'Category (2016)'!$AN$5:$AP$5</c:f>
              <c:numCache>
                <c:formatCode>General</c:formatCode>
                <c:ptCount val="3"/>
                <c:pt idx="0">
                  <c:v>2014</c:v>
                </c:pt>
                <c:pt idx="1">
                  <c:v>2015</c:v>
                </c:pt>
                <c:pt idx="2">
                  <c:v>2015</c:v>
                </c:pt>
              </c:numCache>
            </c:numRef>
          </c:cat>
          <c:val>
            <c:numRef>
              <c:f>'Category (2016)'!$AN$7:$AP$7</c:f>
              <c:numCache>
                <c:formatCode>"$"#,##0_);\("$"#,##0\)</c:formatCode>
                <c:ptCount val="3"/>
                <c:pt idx="0">
                  <c:v>991000</c:v>
                </c:pt>
                <c:pt idx="1">
                  <c:v>1087000</c:v>
                </c:pt>
                <c:pt idx="2">
                  <c:v>1020000</c:v>
                </c:pt>
              </c:numCache>
            </c:numRef>
          </c:val>
        </c:ser>
        <c:ser>
          <c:idx val="2"/>
          <c:order val="2"/>
          <c:tx>
            <c:strRef>
              <c:f>'Category (2016)'!$AM$8</c:f>
              <c:strCache>
                <c:ptCount val="1"/>
                <c:pt idx="0">
                  <c:v>RTF Manager</c:v>
                </c:pt>
              </c:strCache>
            </c:strRef>
          </c:tx>
          <c:val>
            <c:numRef>
              <c:f>'Category (2016)'!$AN$8:$AP$8</c:f>
              <c:numCache>
                <c:formatCode>"$"#,##0_);\("$"#,##0\)</c:formatCode>
                <c:ptCount val="3"/>
                <c:pt idx="0">
                  <c:v>0</c:v>
                </c:pt>
                <c:pt idx="1">
                  <c:v>125000</c:v>
                </c:pt>
                <c:pt idx="2">
                  <c:v>135000</c:v>
                </c:pt>
              </c:numCache>
            </c:numRef>
          </c:val>
        </c:ser>
        <c:overlap val="100"/>
        <c:axId val="57721984"/>
        <c:axId val="57723520"/>
      </c:barChart>
      <c:catAx>
        <c:axId val="57721984"/>
        <c:scaling>
          <c:orientation val="minMax"/>
        </c:scaling>
        <c:axPos val="b"/>
        <c:numFmt formatCode="General" sourceLinked="1"/>
        <c:tickLblPos val="nextTo"/>
        <c:crossAx val="57723520"/>
        <c:crosses val="autoZero"/>
        <c:auto val="1"/>
        <c:lblAlgn val="ctr"/>
        <c:lblOffset val="100"/>
      </c:catAx>
      <c:valAx>
        <c:axId val="57723520"/>
        <c:scaling>
          <c:orientation val="minMax"/>
        </c:scaling>
        <c:axPos val="l"/>
        <c:majorGridlines/>
        <c:numFmt formatCode="&quot;$&quot;#,##0_);\(&quot;$&quot;#,##0\)" sourceLinked="1"/>
        <c:tickLblPos val="nextTo"/>
        <c:crossAx val="57721984"/>
        <c:crosses val="autoZero"/>
        <c:crossBetween val="between"/>
      </c:valAx>
    </c:plotArea>
    <c:legend>
      <c:legendPos val="r"/>
    </c:legend>
    <c:plotVisOnly val="1"/>
    <c:dispBlanksAs val="gap"/>
  </c:chart>
  <c:txPr>
    <a:bodyPr/>
    <a:lstStyle/>
    <a:p>
      <a:pPr>
        <a:defRPr sz="1400"/>
      </a:pPr>
      <a:endParaRPr lang="en-US"/>
    </a:p>
  </c:txPr>
  <c:printSettings>
    <c:headerFooter/>
    <c:pageMargins b="0.7500000000000101" l="0.70000000000000162" r="0.70000000000000162" t="0.75000000000001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2015 Breakdown</a:t>
            </a:r>
          </a:p>
        </c:rich>
      </c:tx>
    </c:title>
    <c:plotArea>
      <c:layout/>
      <c:pieChart>
        <c:varyColors val="1"/>
        <c:ser>
          <c:idx val="0"/>
          <c:order val="0"/>
          <c:tx>
            <c:v>2013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(2016)'!$AF$6,'Category (2016)'!$AF$9,'Category (2016)'!$AF$12)</c:f>
              <c:numCache>
                <c:formatCode>0%</c:formatCode>
                <c:ptCount val="3"/>
                <c:pt idx="0">
                  <c:v>0.64087689301416706</c:v>
                </c:pt>
                <c:pt idx="1">
                  <c:v>0.16365412799218368</c:v>
                </c:pt>
                <c:pt idx="2">
                  <c:v>0.19546897899364923</c:v>
                </c:pt>
              </c:numCache>
            </c:numRef>
          </c:val>
        </c:ser>
        <c:firstSliceAng val="0"/>
      </c:pieChart>
    </c:plotArea>
    <c:plotVisOnly val="1"/>
    <c:dispBlanksAs val="zero"/>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2016 Breakdown</a:t>
            </a:r>
          </a:p>
        </c:rich>
      </c:tx>
    </c:title>
    <c:plotArea>
      <c:layout/>
      <c:pieChart>
        <c:varyColors val="1"/>
        <c:ser>
          <c:idx val="0"/>
          <c:order val="0"/>
          <c:tx>
            <c:v>2014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(2016)'!$AK$6,'Category (2016)'!$AK$9,'Category (2016)'!$AK$12)</c:f>
              <c:numCache>
                <c:formatCode>0%</c:formatCode>
                <c:ptCount val="3"/>
                <c:pt idx="0">
                  <c:v>0.59260372820204454</c:v>
                </c:pt>
                <c:pt idx="1">
                  <c:v>0.132291040288635</c:v>
                </c:pt>
                <c:pt idx="2">
                  <c:v>0.27510523150932048</c:v>
                </c:pt>
              </c:numCache>
            </c:numRef>
          </c:val>
        </c:ser>
        <c:firstSliceAng val="0"/>
      </c:pieChart>
    </c:plotArea>
    <c:legend>
      <c:legendPos val="b"/>
    </c:legend>
    <c:plotVisOnly val="1"/>
    <c:dispBlanksAs val="zero"/>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Analyst Team Allocation</a:t>
            </a:r>
          </a:p>
        </c:rich>
      </c:tx>
      <c:overlay val="1"/>
    </c:title>
    <c:plotArea>
      <c:layout/>
      <c:barChart>
        <c:barDir val="col"/>
        <c:grouping val="stacked"/>
        <c:ser>
          <c:idx val="8"/>
          <c:order val="0"/>
          <c:tx>
            <c:strRef>
              <c:f>'Category (2016)'!$B$14</c:f>
              <c:strCache>
                <c:ptCount val="1"/>
                <c:pt idx="0">
                  <c:v>RTF Management</c:v>
                </c:pt>
              </c:strCache>
            </c:strRef>
          </c:tx>
          <c:cat>
            <c:numLit>
              <c:formatCode>General</c:formatCode>
              <c:ptCount val="3"/>
              <c:pt idx="0">
                <c:v>2014</c:v>
              </c:pt>
              <c:pt idx="1">
                <c:v>2015</c:v>
              </c:pt>
              <c:pt idx="2">
                <c:v>2016</c:v>
              </c:pt>
            </c:numLit>
          </c:cat>
          <c:val>
            <c:numRef>
              <c:f>('Category (2016)'!$R$14,'Category (2016)'!$K$14,'Category (2016)'!$D$14)</c:f>
              <c:numCache>
                <c:formatCode>"$"#,##0_);\("$"#,##0\)</c:formatCode>
                <c:ptCount val="3"/>
                <c:pt idx="0">
                  <c:v>196000</c:v>
                </c:pt>
                <c:pt idx="1">
                  <c:v>0</c:v>
                </c:pt>
                <c:pt idx="2">
                  <c:v>0</c:v>
                </c:pt>
              </c:numCache>
            </c:numRef>
          </c:val>
        </c:ser>
        <c:ser>
          <c:idx val="7"/>
          <c:order val="1"/>
          <c:tx>
            <c:strRef>
              <c:f>'Category (2016)'!$B$13</c:f>
              <c:strCache>
                <c:ptCount val="1"/>
                <c:pt idx="0">
                  <c:v>RTF Member Support &amp; Administration</c:v>
                </c:pt>
              </c:strCache>
            </c:strRef>
          </c:tx>
          <c:cat>
            <c:numLit>
              <c:formatCode>General</c:formatCode>
              <c:ptCount val="3"/>
              <c:pt idx="0">
                <c:v>2014</c:v>
              </c:pt>
              <c:pt idx="1">
                <c:v>2015</c:v>
              </c:pt>
              <c:pt idx="2">
                <c:v>2016</c:v>
              </c:pt>
            </c:numLit>
          </c:cat>
          <c:val>
            <c:numRef>
              <c:f>('Category (2016)'!$R$13,'Category (2016)'!$K$13,'Category (2016)'!$D$13)</c:f>
              <c:numCache>
                <c:formatCode>"$"#,##0_);\("$"#,##0\)</c:formatCode>
                <c:ptCount val="3"/>
                <c:pt idx="0">
                  <c:v>0</c:v>
                </c:pt>
                <c:pt idx="1">
                  <c:v>0</c:v>
                </c:pt>
                <c:pt idx="2">
                  <c:v>65000</c:v>
                </c:pt>
              </c:numCache>
            </c:numRef>
          </c:val>
        </c:ser>
        <c:ser>
          <c:idx val="6"/>
          <c:order val="2"/>
          <c:tx>
            <c:strRef>
              <c:f>'Category (2016)'!$B$12</c:f>
              <c:strCache>
                <c:ptCount val="1"/>
                <c:pt idx="0">
                  <c:v>Website, Database support, Conservation Tracking </c:v>
                </c:pt>
              </c:strCache>
            </c:strRef>
          </c:tx>
          <c:cat>
            <c:numLit>
              <c:formatCode>General</c:formatCode>
              <c:ptCount val="3"/>
              <c:pt idx="0">
                <c:v>2014</c:v>
              </c:pt>
              <c:pt idx="1">
                <c:v>2015</c:v>
              </c:pt>
              <c:pt idx="2">
                <c:v>2016</c:v>
              </c:pt>
            </c:numLit>
          </c:cat>
          <c:val>
            <c:numRef>
              <c:f>('Category (2016)'!$R$12,'Category (2016)'!$K$12,'Category (2016)'!$D$12)</c:f>
              <c:numCache>
                <c:formatCode>"$"#,##0_);\("$"#,##0\)</c:formatCode>
                <c:ptCount val="3"/>
                <c:pt idx="0">
                  <c:v>40000</c:v>
                </c:pt>
                <c:pt idx="1">
                  <c:v>20000</c:v>
                </c:pt>
                <c:pt idx="2">
                  <c:v>20000</c:v>
                </c:pt>
              </c:numCache>
            </c:numRef>
          </c:val>
        </c:ser>
        <c:ser>
          <c:idx val="5"/>
          <c:order val="3"/>
          <c:tx>
            <c:strRef>
              <c:f>'Category (2016)'!$B$11</c:f>
              <c:strCache>
                <c:ptCount val="1"/>
                <c:pt idx="0">
                  <c:v>Regional Coordination (Research and Data Development)</c:v>
                </c:pt>
              </c:strCache>
            </c:strRef>
          </c:tx>
          <c:cat>
            <c:numLit>
              <c:formatCode>General</c:formatCode>
              <c:ptCount val="3"/>
              <c:pt idx="0">
                <c:v>2014</c:v>
              </c:pt>
              <c:pt idx="1">
                <c:v>2015</c:v>
              </c:pt>
              <c:pt idx="2">
                <c:v>2016</c:v>
              </c:pt>
            </c:numLit>
          </c:cat>
          <c:val>
            <c:numRef>
              <c:f>('Category (2016)'!$R$11,'Category (2016)'!$K$11,'Category (2016)'!$D$11)</c:f>
              <c:numCache>
                <c:formatCode>"$"#,##0_);\("$"#,##0\)</c:formatCode>
                <c:ptCount val="3"/>
                <c:pt idx="0">
                  <c:v>6000</c:v>
                </c:pt>
                <c:pt idx="1">
                  <c:v>125000</c:v>
                </c:pt>
                <c:pt idx="2">
                  <c:v>135000</c:v>
                </c:pt>
              </c:numCache>
            </c:numRef>
          </c:val>
        </c:ser>
        <c:ser>
          <c:idx val="4"/>
          <c:order val="4"/>
          <c:tx>
            <c:strRef>
              <c:f>'Category (2016)'!$B$10</c:f>
              <c:strCache>
                <c:ptCount val="1"/>
                <c:pt idx="0">
                  <c:v>Research Projects &amp; Data Development</c:v>
                </c:pt>
              </c:strCache>
            </c:strRef>
          </c:tx>
          <c:cat>
            <c:numLit>
              <c:formatCode>General</c:formatCode>
              <c:ptCount val="3"/>
              <c:pt idx="0">
                <c:v>2014</c:v>
              </c:pt>
              <c:pt idx="1">
                <c:v>2015</c:v>
              </c:pt>
              <c:pt idx="2">
                <c:v>2016</c:v>
              </c:pt>
            </c:numLit>
          </c:cat>
          <c:val>
            <c:numRef>
              <c:f>('Category (2016)'!$R$10,'Category (2016)'!$K$10,'Category (2016)'!$D$10)</c:f>
              <c:numCache>
                <c:formatCode>"$"#,##0_);\("$"#,##0\)</c:formatCode>
                <c:ptCount val="3"/>
                <c:pt idx="0">
                  <c:v>60000</c:v>
                </c:pt>
                <c:pt idx="1">
                  <c:v>40000</c:v>
                </c:pt>
                <c:pt idx="2">
                  <c:v>0</c:v>
                </c:pt>
              </c:numCache>
            </c:numRef>
          </c:val>
        </c:ser>
        <c:ser>
          <c:idx val="3"/>
          <c:order val="5"/>
          <c:tx>
            <c:strRef>
              <c:f>'Category (2016)'!$B$9</c:f>
              <c:strCache>
                <c:ptCount val="1"/>
                <c:pt idx="0">
                  <c:v>Tool Development</c:v>
                </c:pt>
              </c:strCache>
            </c:strRef>
          </c:tx>
          <c:cat>
            <c:numLit>
              <c:formatCode>General</c:formatCode>
              <c:ptCount val="3"/>
              <c:pt idx="0">
                <c:v>2014</c:v>
              </c:pt>
              <c:pt idx="1">
                <c:v>2015</c:v>
              </c:pt>
              <c:pt idx="2">
                <c:v>2016</c:v>
              </c:pt>
            </c:numLit>
          </c:cat>
          <c:val>
            <c:numRef>
              <c:f>('Category (2016)'!$R$9,'Category (2016)'!$K$9,'Category (2016)'!$D$9)</c:f>
              <c:numCache>
                <c:formatCode>"$"#,##0_);\("$"#,##0\)</c:formatCode>
                <c:ptCount val="3"/>
                <c:pt idx="0">
                  <c:v>120000</c:v>
                </c:pt>
                <c:pt idx="1">
                  <c:v>80000</c:v>
                </c:pt>
                <c:pt idx="2">
                  <c:v>60000</c:v>
                </c:pt>
              </c:numCache>
            </c:numRef>
          </c:val>
        </c:ser>
        <c:ser>
          <c:idx val="2"/>
          <c:order val="6"/>
          <c:tx>
            <c:strRef>
              <c:f>'Category (2016)'!$B$8</c:f>
              <c:strCache>
                <c:ptCount val="1"/>
                <c:pt idx="0">
                  <c:v>Standardization of Technical Analysis</c:v>
                </c:pt>
              </c:strCache>
            </c:strRef>
          </c:tx>
          <c:cat>
            <c:numLit>
              <c:formatCode>General</c:formatCode>
              <c:ptCount val="3"/>
              <c:pt idx="0">
                <c:v>2014</c:v>
              </c:pt>
              <c:pt idx="1">
                <c:v>2015</c:v>
              </c:pt>
              <c:pt idx="2">
                <c:v>2016</c:v>
              </c:pt>
            </c:numLit>
          </c:cat>
          <c:val>
            <c:numRef>
              <c:f>('Category (2016)'!$R$8,'Category (2016)'!$K$8,'Category (2016)'!$D$8)</c:f>
              <c:numCache>
                <c:formatCode>"$"#,##0_);\("$"#,##0\)</c:formatCode>
                <c:ptCount val="3"/>
                <c:pt idx="0">
                  <c:v>19000</c:v>
                </c:pt>
                <c:pt idx="1">
                  <c:v>84000</c:v>
                </c:pt>
                <c:pt idx="2">
                  <c:v>175000</c:v>
                </c:pt>
              </c:numCache>
            </c:numRef>
          </c:val>
        </c:ser>
        <c:ser>
          <c:idx val="1"/>
          <c:order val="7"/>
          <c:tx>
            <c:strRef>
              <c:f>'Category (2016)'!$B$7</c:f>
              <c:strCache>
                <c:ptCount val="1"/>
                <c:pt idx="0">
                  <c:v>New Measure Development &amp; Review of Unsolicited Proposals</c:v>
                </c:pt>
              </c:strCache>
            </c:strRef>
          </c:tx>
          <c:cat>
            <c:numLit>
              <c:formatCode>General</c:formatCode>
              <c:ptCount val="3"/>
              <c:pt idx="0">
                <c:v>2014</c:v>
              </c:pt>
              <c:pt idx="1">
                <c:v>2015</c:v>
              </c:pt>
              <c:pt idx="2">
                <c:v>2016</c:v>
              </c:pt>
            </c:numLit>
          </c:cat>
          <c:val>
            <c:numRef>
              <c:f>('Category (2016)'!$R$7,'Category (2016)'!$K$7,'Category (2016)'!$D$7)</c:f>
              <c:numCache>
                <c:formatCode>"$"#,##0_);\("$"#,##0\)</c:formatCode>
                <c:ptCount val="3"/>
                <c:pt idx="0">
                  <c:v>140000</c:v>
                </c:pt>
                <c:pt idx="1">
                  <c:v>310000</c:v>
                </c:pt>
                <c:pt idx="2">
                  <c:v>240000</c:v>
                </c:pt>
              </c:numCache>
            </c:numRef>
          </c:val>
        </c:ser>
        <c:ser>
          <c:idx val="0"/>
          <c:order val="8"/>
          <c:tx>
            <c:strRef>
              <c:f>'Category (2016)'!$B$6</c:f>
              <c:strCache>
                <c:ptCount val="1"/>
                <c:pt idx="0">
                  <c:v>Existing Measure Review &amp; Updates</c:v>
                </c:pt>
              </c:strCache>
            </c:strRef>
          </c:tx>
          <c:cat>
            <c:numLit>
              <c:formatCode>General</c:formatCode>
              <c:ptCount val="3"/>
              <c:pt idx="0">
                <c:v>2014</c:v>
              </c:pt>
              <c:pt idx="1">
                <c:v>2015</c:v>
              </c:pt>
              <c:pt idx="2">
                <c:v>2016</c:v>
              </c:pt>
            </c:numLit>
          </c:cat>
          <c:val>
            <c:numRef>
              <c:f>('Category (2016)'!$R$6,'Category (2016)'!$K$6,'Category (2016)'!$D$6)</c:f>
              <c:numCache>
                <c:formatCode>"$"#,##0_);\("$"#,##0\)</c:formatCode>
                <c:ptCount val="3"/>
                <c:pt idx="0">
                  <c:v>410000</c:v>
                </c:pt>
                <c:pt idx="1">
                  <c:v>428000</c:v>
                </c:pt>
                <c:pt idx="2">
                  <c:v>325000</c:v>
                </c:pt>
              </c:numCache>
            </c:numRef>
          </c:val>
        </c:ser>
        <c:overlap val="100"/>
        <c:axId val="83105280"/>
        <c:axId val="83106816"/>
      </c:barChart>
      <c:catAx>
        <c:axId val="83105280"/>
        <c:scaling>
          <c:orientation val="minMax"/>
        </c:scaling>
        <c:axPos val="b"/>
        <c:numFmt formatCode="General" sourceLinked="1"/>
        <c:tickLblPos val="nextTo"/>
        <c:txPr>
          <a:bodyPr/>
          <a:lstStyle/>
          <a:p>
            <a:pPr>
              <a:defRPr sz="1800" b="1"/>
            </a:pPr>
            <a:endParaRPr lang="en-US"/>
          </a:p>
        </c:txPr>
        <c:crossAx val="83106816"/>
        <c:crosses val="autoZero"/>
        <c:auto val="1"/>
        <c:lblAlgn val="ctr"/>
        <c:lblOffset val="100"/>
      </c:catAx>
      <c:valAx>
        <c:axId val="83106816"/>
        <c:scaling>
          <c:orientation val="minMax"/>
        </c:scaling>
        <c:axPos val="l"/>
        <c:numFmt formatCode="&quot;$&quot;#,##0_);\(&quot;$&quot;#,##0\)" sourceLinked="1"/>
        <c:tickLblPos val="nextTo"/>
        <c:txPr>
          <a:bodyPr/>
          <a:lstStyle/>
          <a:p>
            <a:pPr>
              <a:defRPr sz="1200"/>
            </a:pPr>
            <a:endParaRPr lang="en-US"/>
          </a:p>
        </c:txPr>
        <c:crossAx val="83105280"/>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31" l="0.70000000000000162" r="0.700000000000001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2014 Breakdown</a:t>
            </a:r>
          </a:p>
        </c:rich>
      </c:tx>
      <c:layout/>
    </c:title>
    <c:plotArea>
      <c:layout/>
      <c:pieChart>
        <c:varyColors val="1"/>
        <c:ser>
          <c:idx val="0"/>
          <c:order val="0"/>
          <c:tx>
            <c:v>2012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(2016)'!$AA$6,'Category (2016)'!$AA$9,'Category (2016)'!$AA$12)</c:f>
              <c:numCache>
                <c:formatCode>0%</c:formatCode>
                <c:ptCount val="3"/>
                <c:pt idx="0">
                  <c:v>0.50203665987780044</c:v>
                </c:pt>
                <c:pt idx="1">
                  <c:v>0.21961982348947726</c:v>
                </c:pt>
                <c:pt idx="2">
                  <c:v>0.27834351663272233</c:v>
                </c:pt>
              </c:numCache>
            </c:numRef>
          </c:val>
        </c:ser>
        <c:firstSliceAng val="0"/>
      </c:pieChart>
    </c:plotArea>
    <c:plotVisOnly val="1"/>
    <c:dispBlanksAs val="zero"/>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 Allocation</a:t>
            </a:r>
          </a:p>
        </c:rich>
      </c:tx>
      <c:layout>
        <c:manualLayout>
          <c:xMode val="edge"/>
          <c:yMode val="edge"/>
          <c:x val="0.33696413386391294"/>
          <c:y val="1.3665202537823329E-2"/>
        </c:manualLayout>
      </c:layout>
      <c:overlay val="1"/>
    </c:title>
    <c:plotArea>
      <c:layout/>
      <c:barChart>
        <c:barDir val="col"/>
        <c:grouping val="percentStacked"/>
        <c:ser>
          <c:idx val="1"/>
          <c:order val="0"/>
          <c:tx>
            <c:strRef>
              <c:f>'Category (2016)'!$O$123</c:f>
              <c:strCache>
                <c:ptCount val="1"/>
                <c:pt idx="0">
                  <c:v>Contract RFP</c:v>
                </c:pt>
              </c:strCache>
            </c:strRef>
          </c:tx>
          <c:cat>
            <c:numRef>
              <c:f>'Category (2016)'!$Q$122:$R$122</c:f>
              <c:numCache>
                <c:formatCode>General</c:formatCode>
                <c:ptCount val="2"/>
                <c:pt idx="0">
                  <c:v>2015</c:v>
                </c:pt>
                <c:pt idx="1">
                  <c:v>2016</c:v>
                </c:pt>
              </c:numCache>
            </c:numRef>
          </c:cat>
          <c:val>
            <c:numRef>
              <c:f>'Category (2016)'!$Q$123:$R$123</c:f>
              <c:numCache>
                <c:formatCode>"$"#,##0_);\("$"#,##0\)</c:formatCode>
                <c:ptCount val="2"/>
                <c:pt idx="0">
                  <c:v>425600</c:v>
                </c:pt>
                <c:pt idx="1">
                  <c:v>508000</c:v>
                </c:pt>
              </c:numCache>
            </c:numRef>
          </c:val>
        </c:ser>
        <c:ser>
          <c:idx val="0"/>
          <c:order val="1"/>
          <c:tx>
            <c:strRef>
              <c:f>'Category (2016)'!$O$125</c:f>
              <c:strCache>
                <c:ptCount val="1"/>
                <c:pt idx="0">
                  <c:v>Contract Analyst Team and RTF Manager</c:v>
                </c:pt>
              </c:strCache>
            </c:strRef>
          </c:tx>
          <c:cat>
            <c:numRef>
              <c:f>'Category (2016)'!$Q$122:$R$122</c:f>
              <c:numCache>
                <c:formatCode>General</c:formatCode>
                <c:ptCount val="2"/>
                <c:pt idx="0">
                  <c:v>2015</c:v>
                </c:pt>
                <c:pt idx="1">
                  <c:v>2016</c:v>
                </c:pt>
              </c:numCache>
            </c:numRef>
          </c:cat>
          <c:val>
            <c:numRef>
              <c:f>'Category (2016)'!$Q$125:$R$125</c:f>
              <c:numCache>
                <c:formatCode>"$"#,##0_);\("$"#,##0\)</c:formatCode>
                <c:ptCount val="2"/>
                <c:pt idx="0">
                  <c:v>1212000</c:v>
                </c:pt>
                <c:pt idx="1">
                  <c:v>1155000</c:v>
                </c:pt>
              </c:numCache>
            </c:numRef>
          </c:val>
        </c:ser>
        <c:overlap val="100"/>
        <c:axId val="85436288"/>
        <c:axId val="85437824"/>
      </c:barChart>
      <c:catAx>
        <c:axId val="85436288"/>
        <c:scaling>
          <c:orientation val="minMax"/>
        </c:scaling>
        <c:axPos val="b"/>
        <c:numFmt formatCode="General" sourceLinked="1"/>
        <c:tickLblPos val="nextTo"/>
        <c:txPr>
          <a:bodyPr/>
          <a:lstStyle/>
          <a:p>
            <a:pPr>
              <a:defRPr sz="1800" b="1"/>
            </a:pPr>
            <a:endParaRPr lang="en-US"/>
          </a:p>
        </c:txPr>
        <c:crossAx val="85437824"/>
        <c:crosses val="autoZero"/>
        <c:auto val="1"/>
        <c:lblAlgn val="ctr"/>
        <c:lblOffset val="100"/>
      </c:catAx>
      <c:valAx>
        <c:axId val="85437824"/>
        <c:scaling>
          <c:orientation val="minMax"/>
        </c:scaling>
        <c:axPos val="l"/>
        <c:numFmt formatCode="0%" sourceLinked="1"/>
        <c:tickLblPos val="nextTo"/>
        <c:txPr>
          <a:bodyPr/>
          <a:lstStyle/>
          <a:p>
            <a:pPr>
              <a:defRPr sz="1200"/>
            </a:pPr>
            <a:endParaRPr lang="en-US"/>
          </a:p>
        </c:txPr>
        <c:crossAx val="85436288"/>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31" l="0.70000000000000162" r="0.700000000000001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593910</xdr:colOff>
      <xdr:row>16</xdr:row>
      <xdr:rowOff>38100</xdr:rowOff>
    </xdr:from>
    <xdr:to>
      <xdr:col>13</xdr:col>
      <xdr:colOff>526676</xdr:colOff>
      <xdr:row>49</xdr:row>
      <xdr:rowOff>33277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13</xdr:col>
      <xdr:colOff>537882</xdr:colOff>
      <xdr:row>83</xdr:row>
      <xdr:rowOff>171449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44</xdr:col>
      <xdr:colOff>44823</xdr:colOff>
      <xdr:row>4</xdr:row>
      <xdr:rowOff>44825</xdr:rowOff>
    </xdr:from>
    <xdr:to>
      <xdr:col>59</xdr:col>
      <xdr:colOff>313765</xdr:colOff>
      <xdr:row>11</xdr:row>
      <xdr:rowOff>403413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37</xdr:col>
      <xdr:colOff>585507</xdr:colOff>
      <xdr:row>10</xdr:row>
      <xdr:rowOff>261237</xdr:rowOff>
    </xdr:from>
    <xdr:to>
      <xdr:col>43</xdr:col>
      <xdr:colOff>383801</xdr:colOff>
      <xdr:row>21</xdr:row>
      <xdr:rowOff>60932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22413</xdr:colOff>
      <xdr:row>16</xdr:row>
      <xdr:rowOff>11207</xdr:rowOff>
    </xdr:from>
    <xdr:to>
      <xdr:col>27</xdr:col>
      <xdr:colOff>638736</xdr:colOff>
      <xdr:row>30</xdr:row>
      <xdr:rowOff>89648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885266</xdr:colOff>
      <xdr:row>16</xdr:row>
      <xdr:rowOff>1</xdr:rowOff>
    </xdr:from>
    <xdr:to>
      <xdr:col>34</xdr:col>
      <xdr:colOff>347383</xdr:colOff>
      <xdr:row>35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85</xdr:row>
      <xdr:rowOff>0</xdr:rowOff>
    </xdr:from>
    <xdr:to>
      <xdr:col>14</xdr:col>
      <xdr:colOff>1682</xdr:colOff>
      <xdr:row>119</xdr:row>
      <xdr:rowOff>28575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33619</xdr:colOff>
      <xdr:row>16</xdr:row>
      <xdr:rowOff>0</xdr:rowOff>
    </xdr:from>
    <xdr:to>
      <xdr:col>23</xdr:col>
      <xdr:colOff>615763</xdr:colOff>
      <xdr:row>30</xdr:row>
      <xdr:rowOff>78441</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120</xdr:row>
      <xdr:rowOff>0</xdr:rowOff>
    </xdr:from>
    <xdr:to>
      <xdr:col>14</xdr:col>
      <xdr:colOff>1682</xdr:colOff>
      <xdr:row>154</xdr:row>
      <xdr:rowOff>28575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449036</xdr:colOff>
      <xdr:row>36</xdr:row>
      <xdr:rowOff>13607</xdr:rowOff>
    </xdr:from>
    <xdr:to>
      <xdr:col>30</xdr:col>
      <xdr:colOff>218516</xdr:colOff>
      <xdr:row>69</xdr:row>
      <xdr:rowOff>8784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27214</xdr:colOff>
      <xdr:row>158</xdr:row>
      <xdr:rowOff>163286</xdr:rowOff>
    </xdr:from>
    <xdr:to>
      <xdr:col>13</xdr:col>
      <xdr:colOff>569179</xdr:colOff>
      <xdr:row>193</xdr:row>
      <xdr:rowOff>1361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195</xdr:row>
      <xdr:rowOff>0</xdr:rowOff>
    </xdr:from>
    <xdr:to>
      <xdr:col>14</xdr:col>
      <xdr:colOff>1682</xdr:colOff>
      <xdr:row>229</xdr:row>
      <xdr:rowOff>28575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230</xdr:row>
      <xdr:rowOff>0</xdr:rowOff>
    </xdr:from>
    <xdr:to>
      <xdr:col>14</xdr:col>
      <xdr:colOff>1682</xdr:colOff>
      <xdr:row>264</xdr:row>
      <xdr:rowOff>28575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276225</xdr:colOff>
      <xdr:row>18</xdr:row>
      <xdr:rowOff>95250</xdr:rowOff>
    </xdr:from>
    <xdr:to>
      <xdr:col>16</xdr:col>
      <xdr:colOff>590550</xdr:colOff>
      <xdr:row>37</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257172</xdr:colOff>
      <xdr:row>37</xdr:row>
      <xdr:rowOff>142874</xdr:rowOff>
    </xdr:from>
    <xdr:to>
      <xdr:col>16</xdr:col>
      <xdr:colOff>609600</xdr:colOff>
      <xdr:row>54</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266699</xdr:colOff>
      <xdr:row>56</xdr:row>
      <xdr:rowOff>76200</xdr:rowOff>
    </xdr:from>
    <xdr:to>
      <xdr:col>16</xdr:col>
      <xdr:colOff>619124</xdr:colOff>
      <xdr:row>73</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32</xdr:row>
      <xdr:rowOff>19050</xdr:rowOff>
    </xdr:from>
    <xdr:to>
      <xdr:col>23</xdr:col>
      <xdr:colOff>257175</xdr:colOff>
      <xdr:row>60</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2</xdr:row>
      <xdr:rowOff>28575</xdr:rowOff>
    </xdr:from>
    <xdr:to>
      <xdr:col>23</xdr:col>
      <xdr:colOff>228600</xdr:colOff>
      <xdr:row>29</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L/RTF/RTF%20PAC/Funding/PAC-projections-2015-2019-by_funder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tegory (2014-2016)"/>
      <sheetName val="Category Detail (2014)"/>
      <sheetName val="NPCC In Kind"/>
      <sheetName val="Funding Shares"/>
    </sheetNames>
    <sheetDataSet>
      <sheetData sheetId="0">
        <row r="39">
          <cell r="D39">
            <v>1669714.375</v>
          </cell>
          <cell r="E39">
            <v>1696261.1170312497</v>
          </cell>
          <cell r="F39">
            <v>1825084.4590257024</v>
          </cell>
          <cell r="G39">
            <v>1870109.6448447423</v>
          </cell>
          <cell r="H39">
            <v>1912303.393579819</v>
          </cell>
        </row>
      </sheetData>
      <sheetData sheetId="1"/>
      <sheetData sheetId="2">
        <row r="2">
          <cell r="K2">
            <v>160000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enableFormatConditionsCalculation="0"/>
  <dimension ref="B1:C11"/>
  <sheetViews>
    <sheetView workbookViewId="0"/>
  </sheetViews>
  <sheetFormatPr defaultColWidth="8.85546875" defaultRowHeight="15"/>
  <cols>
    <col min="2" max="2" width="27.85546875" customWidth="1"/>
    <col min="3" max="3" width="92" customWidth="1"/>
    <col min="4" max="4" width="9.7109375" bestFit="1" customWidth="1"/>
  </cols>
  <sheetData>
    <row r="1" spans="2:3" ht="18.75">
      <c r="B1" s="183" t="s">
        <v>111</v>
      </c>
    </row>
    <row r="2" spans="2:3">
      <c r="B2" s="1" t="s">
        <v>358</v>
      </c>
      <c r="C2" s="4"/>
    </row>
    <row r="4" spans="2:3" ht="15.75">
      <c r="B4" s="90" t="s">
        <v>108</v>
      </c>
      <c r="C4" s="90" t="s">
        <v>109</v>
      </c>
    </row>
    <row r="5" spans="2:3" ht="15.75">
      <c r="B5" s="91" t="s">
        <v>111</v>
      </c>
      <c r="C5" s="35"/>
    </row>
    <row r="6" spans="2:3" ht="78.75">
      <c r="B6" s="322" t="s">
        <v>284</v>
      </c>
      <c r="C6" s="323" t="s">
        <v>285</v>
      </c>
    </row>
    <row r="7" spans="2:3" ht="63">
      <c r="B7" s="322" t="s">
        <v>287</v>
      </c>
      <c r="C7" s="323" t="s">
        <v>286</v>
      </c>
    </row>
    <row r="8" spans="2:3" ht="31.5">
      <c r="B8" s="322" t="s">
        <v>202</v>
      </c>
      <c r="C8" s="92" t="s">
        <v>244</v>
      </c>
    </row>
    <row r="9" spans="2:3" ht="15.75">
      <c r="B9" s="91" t="s">
        <v>113</v>
      </c>
      <c r="C9" s="92" t="s">
        <v>115</v>
      </c>
    </row>
    <row r="10" spans="2:3" ht="31.5">
      <c r="B10" s="91" t="s">
        <v>114</v>
      </c>
      <c r="C10" s="92" t="s">
        <v>199</v>
      </c>
    </row>
    <row r="11" spans="2:3" ht="31.5">
      <c r="B11" s="91" t="s">
        <v>134</v>
      </c>
      <c r="C11" s="92" t="s">
        <v>167</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B1:BK125"/>
  <sheetViews>
    <sheetView zoomScale="80" zoomScaleNormal="80" zoomScalePageLayoutView="85" workbookViewId="0">
      <selection activeCell="C6" sqref="C6"/>
    </sheetView>
  </sheetViews>
  <sheetFormatPr defaultColWidth="8.85546875" defaultRowHeight="15"/>
  <cols>
    <col min="2" max="2" width="52.7109375" customWidth="1"/>
    <col min="3" max="7" width="14.28515625" customWidth="1"/>
    <col min="8" max="8" width="10.7109375" bestFit="1" customWidth="1"/>
    <col min="9" max="9" width="12.28515625" bestFit="1" customWidth="1"/>
    <col min="10" max="14" width="14.28515625" customWidth="1"/>
    <col min="15" max="15" width="10.85546875" customWidth="1"/>
    <col min="16" max="16" width="12.42578125" bestFit="1" customWidth="1"/>
    <col min="17" max="20" width="14.28515625" customWidth="1"/>
    <col min="21" max="21" width="10.85546875" customWidth="1"/>
    <col min="22" max="22" width="16" customWidth="1"/>
    <col min="23" max="23" width="16.85546875" customWidth="1"/>
    <col min="24" max="36" width="12.85546875" customWidth="1"/>
    <col min="37" max="37" width="10.5703125" bestFit="1" customWidth="1"/>
    <col min="38" max="38" width="14.42578125" customWidth="1"/>
    <col min="39" max="39" width="14" customWidth="1"/>
    <col min="40" max="42" width="13" bestFit="1" customWidth="1"/>
    <col min="63" max="63" width="12.7109375" bestFit="1" customWidth="1"/>
    <col min="69" max="69" width="10.85546875" customWidth="1"/>
  </cols>
  <sheetData>
    <row r="1" spans="2:63" ht="18.75">
      <c r="B1" s="183" t="s">
        <v>201</v>
      </c>
    </row>
    <row r="2" spans="2:63">
      <c r="B2" s="1" t="str">
        <f>'Table of Contents'!B2</f>
        <v>FINAL Work Plan; Council Approval on October 13, 2015</v>
      </c>
    </row>
    <row r="3" spans="2:63">
      <c r="B3" s="2"/>
      <c r="J3" s="401" t="s">
        <v>200</v>
      </c>
      <c r="K3" s="401"/>
      <c r="L3" s="401"/>
      <c r="M3" s="401"/>
      <c r="N3" s="401"/>
      <c r="Q3" s="401" t="s">
        <v>200</v>
      </c>
      <c r="R3" s="401"/>
      <c r="S3" s="401"/>
      <c r="T3" s="401"/>
    </row>
    <row r="4" spans="2:63" ht="26.25" customHeight="1">
      <c r="B4" s="19"/>
      <c r="C4" s="398" t="s">
        <v>359</v>
      </c>
      <c r="D4" s="399"/>
      <c r="E4" s="399"/>
      <c r="F4" s="399"/>
      <c r="G4" s="400"/>
      <c r="H4" s="19"/>
      <c r="J4" s="398" t="s">
        <v>283</v>
      </c>
      <c r="K4" s="399"/>
      <c r="L4" s="399"/>
      <c r="M4" s="399"/>
      <c r="N4" s="400"/>
      <c r="O4" s="11"/>
      <c r="Q4" s="402" t="s">
        <v>204</v>
      </c>
      <c r="R4" s="403"/>
      <c r="S4" s="403"/>
      <c r="T4" s="403"/>
      <c r="V4" s="11"/>
      <c r="X4" s="398" t="s">
        <v>204</v>
      </c>
      <c r="Y4" s="399"/>
      <c r="Z4" s="399"/>
      <c r="AA4" s="405"/>
      <c r="AB4" s="404" t="s">
        <v>283</v>
      </c>
      <c r="AC4" s="399"/>
      <c r="AD4" s="399"/>
      <c r="AE4" s="399"/>
      <c r="AF4" s="405"/>
      <c r="AG4" s="404" t="s">
        <v>288</v>
      </c>
      <c r="AH4" s="399"/>
      <c r="AI4" s="399"/>
      <c r="AJ4" s="400"/>
      <c r="AK4" s="11"/>
      <c r="AL4" s="11"/>
      <c r="AM4" s="11"/>
      <c r="AN4" s="11"/>
    </row>
    <row r="5" spans="2:63" ht="94.5">
      <c r="B5" s="52" t="s">
        <v>49</v>
      </c>
      <c r="C5" s="321" t="s">
        <v>290</v>
      </c>
      <c r="D5" s="321" t="s">
        <v>291</v>
      </c>
      <c r="E5" s="54" t="s">
        <v>292</v>
      </c>
      <c r="F5" s="54" t="s">
        <v>293</v>
      </c>
      <c r="G5" s="55" t="s">
        <v>295</v>
      </c>
      <c r="H5" s="53" t="s">
        <v>166</v>
      </c>
      <c r="I5" s="19"/>
      <c r="J5" s="321" t="s">
        <v>296</v>
      </c>
      <c r="K5" s="321" t="s">
        <v>268</v>
      </c>
      <c r="L5" s="54" t="s">
        <v>267</v>
      </c>
      <c r="M5" s="56" t="s">
        <v>298</v>
      </c>
      <c r="N5" s="57" t="s">
        <v>297</v>
      </c>
      <c r="O5" s="53" t="s">
        <v>166</v>
      </c>
      <c r="P5" s="19"/>
      <c r="Q5" s="321" t="s">
        <v>207</v>
      </c>
      <c r="R5" s="321" t="s">
        <v>269</v>
      </c>
      <c r="S5" s="56" t="s">
        <v>180</v>
      </c>
      <c r="T5" s="57" t="s">
        <v>299</v>
      </c>
      <c r="U5" s="53" t="s">
        <v>166</v>
      </c>
      <c r="W5" s="84" t="s">
        <v>49</v>
      </c>
      <c r="X5" s="321" t="s">
        <v>207</v>
      </c>
      <c r="Y5" s="321" t="s">
        <v>289</v>
      </c>
      <c r="Z5" s="54" t="s">
        <v>208</v>
      </c>
      <c r="AA5" s="56" t="s">
        <v>166</v>
      </c>
      <c r="AB5" s="57" t="s">
        <v>205</v>
      </c>
      <c r="AC5" s="321" t="s">
        <v>300</v>
      </c>
      <c r="AD5" s="54" t="s">
        <v>267</v>
      </c>
      <c r="AE5" s="321" t="s">
        <v>206</v>
      </c>
      <c r="AF5" s="53" t="s">
        <v>166</v>
      </c>
      <c r="AG5" s="85" t="s">
        <v>290</v>
      </c>
      <c r="AH5" s="321" t="s">
        <v>301</v>
      </c>
      <c r="AI5" s="54" t="s">
        <v>292</v>
      </c>
      <c r="AJ5" s="321" t="s">
        <v>293</v>
      </c>
      <c r="AK5" s="53" t="s">
        <v>166</v>
      </c>
      <c r="AL5" s="11"/>
      <c r="AM5" s="89"/>
      <c r="AN5" s="53">
        <v>2014</v>
      </c>
      <c r="AO5" s="53">
        <v>2015</v>
      </c>
      <c r="AP5" s="53">
        <v>2015</v>
      </c>
    </row>
    <row r="6" spans="2:63" ht="53.25" customHeight="1">
      <c r="B6" s="58" t="s">
        <v>52</v>
      </c>
      <c r="C6" s="59">
        <f>'Category Detail (2016)'!B16</f>
        <v>127500</v>
      </c>
      <c r="D6" s="59">
        <f>'Category Detail (2016)'!C16</f>
        <v>325000</v>
      </c>
      <c r="E6" s="60">
        <f>'Category Detail (2016)'!D16</f>
        <v>0</v>
      </c>
      <c r="F6" s="60">
        <f>'Category Detail (2016)'!E16</f>
        <v>452500</v>
      </c>
      <c r="G6" s="61">
        <f>'Category Detail (2016)'!F16</f>
        <v>8400</v>
      </c>
      <c r="H6" s="197">
        <f>F6/$F$15</f>
        <v>0.27209861695730608</v>
      </c>
      <c r="I6" s="203"/>
      <c r="J6" s="59">
        <v>112500</v>
      </c>
      <c r="K6" s="59">
        <v>428000</v>
      </c>
      <c r="L6" s="59">
        <v>0</v>
      </c>
      <c r="M6" s="64">
        <v>540500</v>
      </c>
      <c r="N6" s="65">
        <v>9600</v>
      </c>
      <c r="O6" s="62">
        <f>M6/$M$15</f>
        <v>0.3300561797752809</v>
      </c>
      <c r="P6" s="19"/>
      <c r="Q6" s="59">
        <v>65500</v>
      </c>
      <c r="R6" s="59">
        <v>410000</v>
      </c>
      <c r="S6" s="64">
        <v>475500</v>
      </c>
      <c r="T6" s="65">
        <v>7500</v>
      </c>
      <c r="U6" s="62">
        <f>S6/$S$15</f>
        <v>0.32281059063136458</v>
      </c>
      <c r="W6" s="374" t="s">
        <v>172</v>
      </c>
      <c r="X6" s="371">
        <f>SUM(Q6:Q8)</f>
        <v>170500</v>
      </c>
      <c r="Y6" s="371">
        <f>SUM(R6:R8)</f>
        <v>569000</v>
      </c>
      <c r="Z6" s="371">
        <f>SUM(S6:S8)</f>
        <v>739500</v>
      </c>
      <c r="AA6" s="377">
        <f>Z6/$Z$15</f>
        <v>0.50203665987780044</v>
      </c>
      <c r="AB6" s="380">
        <f>SUM(J6:J8)</f>
        <v>227500</v>
      </c>
      <c r="AC6" s="371">
        <f>SUM(K6:K8)</f>
        <v>822000</v>
      </c>
      <c r="AD6" s="371">
        <f>SUM(L6:L8)</f>
        <v>0</v>
      </c>
      <c r="AE6" s="371">
        <f>SUM(M6:M8)</f>
        <v>1049500</v>
      </c>
      <c r="AF6" s="377">
        <f>AE6/$AE$15</f>
        <v>0.64087689301416706</v>
      </c>
      <c r="AG6" s="368">
        <f>SUM(C6:C8)</f>
        <v>245500</v>
      </c>
      <c r="AH6" s="371">
        <f>SUM(D6:D8)</f>
        <v>740000</v>
      </c>
      <c r="AI6" s="371">
        <f>SUM(E6:E8)</f>
        <v>0</v>
      </c>
      <c r="AJ6" s="371">
        <f>SUM(F6:F8)</f>
        <v>985500</v>
      </c>
      <c r="AK6" s="365">
        <f>AJ6/$AJ$15</f>
        <v>0.59260372820204454</v>
      </c>
      <c r="AL6" s="11"/>
      <c r="AM6" s="89" t="s">
        <v>175</v>
      </c>
      <c r="AN6" s="88">
        <f>X15</f>
        <v>482000</v>
      </c>
      <c r="AO6" s="88">
        <f>AB15</f>
        <v>425600</v>
      </c>
      <c r="AP6" s="88">
        <f>AG15</f>
        <v>508000</v>
      </c>
    </row>
    <row r="7" spans="2:63" ht="60" customHeight="1">
      <c r="B7" s="58" t="s">
        <v>67</v>
      </c>
      <c r="C7" s="59">
        <f>'Category Detail (2016)'!B24</f>
        <v>88000</v>
      </c>
      <c r="D7" s="59">
        <f>'Category Detail (2016)'!C24</f>
        <v>240000</v>
      </c>
      <c r="E7" s="59">
        <f>'Category Detail (2016)'!D24</f>
        <v>0</v>
      </c>
      <c r="F7" s="60">
        <f>'Category Detail (2016)'!E24</f>
        <v>328000</v>
      </c>
      <c r="G7" s="61">
        <f>'Category Detail (2016)'!F24</f>
        <v>2700</v>
      </c>
      <c r="H7" s="197">
        <f>F7/$F$15</f>
        <v>0.19723391461214673</v>
      </c>
      <c r="I7" s="63"/>
      <c r="J7" s="59">
        <v>90000</v>
      </c>
      <c r="K7" s="59">
        <v>310000</v>
      </c>
      <c r="L7" s="59">
        <v>0</v>
      </c>
      <c r="M7" s="64">
        <v>400000</v>
      </c>
      <c r="N7" s="65">
        <v>5100</v>
      </c>
      <c r="O7" s="62">
        <f t="shared" ref="O7:O14" si="0">M7/$M$15</f>
        <v>0.24425989252564728</v>
      </c>
      <c r="P7" s="19"/>
      <c r="Q7" s="59">
        <v>65000</v>
      </c>
      <c r="R7" s="59">
        <v>140000</v>
      </c>
      <c r="S7" s="64">
        <v>205000</v>
      </c>
      <c r="T7" s="65">
        <v>3000</v>
      </c>
      <c r="U7" s="62">
        <f t="shared" ref="U7:U14" si="1">S7/$S$15</f>
        <v>0.13917175831636117</v>
      </c>
      <c r="W7" s="375"/>
      <c r="X7" s="372"/>
      <c r="Y7" s="372"/>
      <c r="Z7" s="372"/>
      <c r="AA7" s="378"/>
      <c r="AB7" s="381"/>
      <c r="AC7" s="372"/>
      <c r="AD7" s="372"/>
      <c r="AE7" s="372"/>
      <c r="AF7" s="378"/>
      <c r="AG7" s="369"/>
      <c r="AH7" s="372"/>
      <c r="AI7" s="372"/>
      <c r="AJ7" s="372"/>
      <c r="AK7" s="366"/>
      <c r="AL7" s="11"/>
      <c r="AM7" s="89" t="s">
        <v>294</v>
      </c>
      <c r="AN7" s="88">
        <f>Y15</f>
        <v>991000</v>
      </c>
      <c r="AO7" s="88">
        <f>AC15</f>
        <v>1087000</v>
      </c>
      <c r="AP7" s="88">
        <f>AH15</f>
        <v>1020000</v>
      </c>
    </row>
    <row r="8" spans="2:63" ht="38.25" customHeight="1">
      <c r="B8" s="58" t="s">
        <v>50</v>
      </c>
      <c r="C8" s="59">
        <f>'Category Detail (2016)'!B32</f>
        <v>30000</v>
      </c>
      <c r="D8" s="59">
        <f>'Category Detail (2016)'!C32</f>
        <v>175000</v>
      </c>
      <c r="E8" s="59">
        <f>'Category Detail (2016)'!D32</f>
        <v>0</v>
      </c>
      <c r="F8" s="60">
        <f>'Category Detail (2016)'!E32</f>
        <v>205000</v>
      </c>
      <c r="G8" s="61">
        <f>'Category Detail (2016)'!F32</f>
        <v>500</v>
      </c>
      <c r="H8" s="197">
        <f t="shared" ref="H8:H14" si="2">F8/$F$15</f>
        <v>0.1232711966325917</v>
      </c>
      <c r="I8" s="63"/>
      <c r="J8" s="59">
        <v>25000</v>
      </c>
      <c r="K8" s="59">
        <v>84000</v>
      </c>
      <c r="L8" s="59">
        <v>0</v>
      </c>
      <c r="M8" s="64">
        <v>109000</v>
      </c>
      <c r="N8" s="65">
        <v>900</v>
      </c>
      <c r="O8" s="62">
        <f t="shared" si="0"/>
        <v>6.6560820713238891E-2</v>
      </c>
      <c r="P8" s="19"/>
      <c r="Q8" s="59">
        <v>40000</v>
      </c>
      <c r="R8" s="59">
        <v>19000</v>
      </c>
      <c r="S8" s="64">
        <v>59000</v>
      </c>
      <c r="T8" s="65">
        <v>1100</v>
      </c>
      <c r="U8" s="62">
        <f t="shared" si="1"/>
        <v>4.005431093007468E-2</v>
      </c>
      <c r="W8" s="376"/>
      <c r="X8" s="373"/>
      <c r="Y8" s="373"/>
      <c r="Z8" s="373"/>
      <c r="AA8" s="379"/>
      <c r="AB8" s="382"/>
      <c r="AC8" s="373"/>
      <c r="AD8" s="373"/>
      <c r="AE8" s="373"/>
      <c r="AF8" s="379"/>
      <c r="AG8" s="370"/>
      <c r="AH8" s="373"/>
      <c r="AI8" s="373"/>
      <c r="AJ8" s="373"/>
      <c r="AK8" s="367"/>
      <c r="AL8" s="11"/>
      <c r="AM8" s="89" t="s">
        <v>177</v>
      </c>
      <c r="AN8" s="88">
        <v>0</v>
      </c>
      <c r="AO8" s="88">
        <f>AD15</f>
        <v>125000</v>
      </c>
      <c r="AP8" s="88">
        <f>AI15</f>
        <v>135000</v>
      </c>
    </row>
    <row r="9" spans="2:63" ht="38.25" customHeight="1">
      <c r="B9" s="66" t="s">
        <v>66</v>
      </c>
      <c r="C9" s="67">
        <f>'Category Detail (2016)'!B37</f>
        <v>10000</v>
      </c>
      <c r="D9" s="67">
        <f>'Category Detail (2016)'!C37</f>
        <v>60000</v>
      </c>
      <c r="E9" s="67">
        <f>'Category Detail (2016)'!D37</f>
        <v>0</v>
      </c>
      <c r="F9" s="68">
        <f>'Category Detail (2016)'!E37</f>
        <v>70000</v>
      </c>
      <c r="G9" s="69">
        <f>'Category Detail (2016)'!F37</f>
        <v>7000</v>
      </c>
      <c r="H9" s="198">
        <f t="shared" si="2"/>
        <v>4.2092603728202047E-2</v>
      </c>
      <c r="I9" s="203"/>
      <c r="J9" s="67">
        <v>10500</v>
      </c>
      <c r="K9" s="67">
        <v>80000</v>
      </c>
      <c r="L9" s="67">
        <v>0</v>
      </c>
      <c r="M9" s="71">
        <v>90500</v>
      </c>
      <c r="N9" s="72">
        <v>15000</v>
      </c>
      <c r="O9" s="70">
        <f t="shared" si="0"/>
        <v>5.5263800683927701E-2</v>
      </c>
      <c r="P9" s="19"/>
      <c r="Q9" s="67">
        <v>65000</v>
      </c>
      <c r="R9" s="67">
        <v>120000</v>
      </c>
      <c r="S9" s="71">
        <v>185000</v>
      </c>
      <c r="T9" s="72">
        <v>25000</v>
      </c>
      <c r="U9" s="70">
        <f t="shared" si="1"/>
        <v>0.12559402579769177</v>
      </c>
      <c r="W9" s="350" t="s">
        <v>173</v>
      </c>
      <c r="X9" s="353">
        <f>SUM(Q9:Q11)</f>
        <v>137500</v>
      </c>
      <c r="Y9" s="353">
        <f>SUM(R9:R11)</f>
        <v>186000</v>
      </c>
      <c r="Z9" s="353">
        <f>SUM(S9:S11)</f>
        <v>323500</v>
      </c>
      <c r="AA9" s="356">
        <f>Z9/$Z$15</f>
        <v>0.21961982348947726</v>
      </c>
      <c r="AB9" s="392">
        <f>SUM(J9:J11)</f>
        <v>23000</v>
      </c>
      <c r="AC9" s="353">
        <f>SUM(K9:K11)</f>
        <v>245000</v>
      </c>
      <c r="AD9" s="353">
        <f>SUM(L9:L11)</f>
        <v>0</v>
      </c>
      <c r="AE9" s="353">
        <f>SUM(M9:M11)</f>
        <v>268000</v>
      </c>
      <c r="AF9" s="356">
        <f>AE9/$AE$15</f>
        <v>0.16365412799218368</v>
      </c>
      <c r="AG9" s="406">
        <f>SUM(C9:C11)</f>
        <v>25000</v>
      </c>
      <c r="AH9" s="353">
        <f t="shared" ref="AH9:AI9" si="3">SUM(D9:D11)</f>
        <v>195000</v>
      </c>
      <c r="AI9" s="353">
        <f t="shared" si="3"/>
        <v>0</v>
      </c>
      <c r="AJ9" s="353">
        <f>SUM(F9:F11)</f>
        <v>220000</v>
      </c>
      <c r="AK9" s="383">
        <f>AJ9/$AJ$15</f>
        <v>0.132291040288635</v>
      </c>
      <c r="AL9" s="11"/>
      <c r="AM9" s="87" t="s">
        <v>20</v>
      </c>
      <c r="AN9" s="78">
        <f>SUM(AN6:AN7)</f>
        <v>1473000</v>
      </c>
      <c r="AO9" s="78">
        <f>SUM(AO6:AO7)</f>
        <v>1512600</v>
      </c>
      <c r="AP9" s="78">
        <f>SUM(AP6:AP7)</f>
        <v>1528000</v>
      </c>
    </row>
    <row r="10" spans="2:63" ht="38.25" customHeight="1">
      <c r="B10" s="66" t="s">
        <v>28</v>
      </c>
      <c r="C10" s="67">
        <f>'Category Detail (2016)'!B42</f>
        <v>0</v>
      </c>
      <c r="D10" s="67">
        <f>'Category Detail (2016)'!C42</f>
        <v>0</v>
      </c>
      <c r="E10" s="67">
        <f>'Category Detail (2016)'!D42</f>
        <v>0</v>
      </c>
      <c r="F10" s="68">
        <f>'Category Detail (2016)'!E42</f>
        <v>0</v>
      </c>
      <c r="G10" s="69">
        <f>'Category Detail (2016)'!F42</f>
        <v>0</v>
      </c>
      <c r="H10" s="198">
        <f t="shared" si="2"/>
        <v>0</v>
      </c>
      <c r="I10" s="63"/>
      <c r="J10" s="67">
        <v>0</v>
      </c>
      <c r="K10" s="67">
        <v>40000</v>
      </c>
      <c r="L10" s="67">
        <v>0</v>
      </c>
      <c r="M10" s="71">
        <v>40000</v>
      </c>
      <c r="N10" s="72">
        <v>20000</v>
      </c>
      <c r="O10" s="70">
        <f t="shared" si="0"/>
        <v>2.4425989252564728E-2</v>
      </c>
      <c r="P10" s="19"/>
      <c r="Q10" s="67">
        <v>60000</v>
      </c>
      <c r="R10" s="67">
        <v>60000</v>
      </c>
      <c r="S10" s="71">
        <v>120000</v>
      </c>
      <c r="T10" s="72">
        <v>42500</v>
      </c>
      <c r="U10" s="70">
        <f t="shared" si="1"/>
        <v>8.1466395112016296E-2</v>
      </c>
      <c r="W10" s="351"/>
      <c r="X10" s="354"/>
      <c r="Y10" s="354"/>
      <c r="Z10" s="354"/>
      <c r="AA10" s="357"/>
      <c r="AB10" s="393"/>
      <c r="AC10" s="354"/>
      <c r="AD10" s="354"/>
      <c r="AE10" s="354"/>
      <c r="AF10" s="357"/>
      <c r="AG10" s="407"/>
      <c r="AH10" s="354"/>
      <c r="AI10" s="354"/>
      <c r="AJ10" s="354"/>
      <c r="AK10" s="384"/>
      <c r="AL10" s="11"/>
      <c r="AM10" s="11"/>
      <c r="AN10" s="11"/>
      <c r="AO10" s="11"/>
      <c r="AP10" s="11"/>
    </row>
    <row r="11" spans="2:63" ht="38.25" customHeight="1">
      <c r="B11" s="66" t="s">
        <v>321</v>
      </c>
      <c r="C11" s="67">
        <f>'Category Detail (2016)'!B50</f>
        <v>15000</v>
      </c>
      <c r="D11" s="67">
        <f>'Category Detail (2016)'!C50</f>
        <v>135000</v>
      </c>
      <c r="E11" s="67">
        <f>'Category Detail (2016)'!D50</f>
        <v>0</v>
      </c>
      <c r="F11" s="68">
        <f>'Category Detail (2016)'!E50</f>
        <v>150000</v>
      </c>
      <c r="G11" s="69">
        <f>'Category Detail (2016)'!F50</f>
        <v>9000</v>
      </c>
      <c r="H11" s="198">
        <f t="shared" si="2"/>
        <v>9.0198436560432957E-2</v>
      </c>
      <c r="I11" s="63"/>
      <c r="J11" s="67">
        <v>12500</v>
      </c>
      <c r="K11" s="67">
        <v>125000</v>
      </c>
      <c r="L11" s="67">
        <v>0</v>
      </c>
      <c r="M11" s="71">
        <v>137500</v>
      </c>
      <c r="N11" s="72">
        <v>4000</v>
      </c>
      <c r="O11" s="70">
        <f t="shared" si="0"/>
        <v>8.3964338055691257E-2</v>
      </c>
      <c r="P11" s="19"/>
      <c r="Q11" s="67">
        <v>12500</v>
      </c>
      <c r="R11" s="67">
        <v>6000</v>
      </c>
      <c r="S11" s="71">
        <v>18500</v>
      </c>
      <c r="T11" s="72">
        <v>6000</v>
      </c>
      <c r="U11" s="70">
        <f t="shared" si="1"/>
        <v>1.2559402579769178E-2</v>
      </c>
      <c r="W11" s="352"/>
      <c r="X11" s="355"/>
      <c r="Y11" s="355"/>
      <c r="Z11" s="355"/>
      <c r="AA11" s="358"/>
      <c r="AB11" s="394"/>
      <c r="AC11" s="355"/>
      <c r="AD11" s="355"/>
      <c r="AE11" s="355"/>
      <c r="AF11" s="358"/>
      <c r="AG11" s="408"/>
      <c r="AH11" s="355"/>
      <c r="AI11" s="355"/>
      <c r="AJ11" s="355"/>
      <c r="AK11" s="385"/>
      <c r="AL11" s="11"/>
      <c r="AM11" s="11"/>
      <c r="AN11" s="11"/>
      <c r="AO11" s="11"/>
      <c r="AP11" s="11"/>
    </row>
    <row r="12" spans="2:63" ht="38.25" customHeight="1">
      <c r="B12" s="73" t="s">
        <v>48</v>
      </c>
      <c r="C12" s="194">
        <f>'Category Detail (2016)'!B56</f>
        <v>60000</v>
      </c>
      <c r="D12" s="194">
        <f>'Category Detail (2016)'!C56</f>
        <v>20000</v>
      </c>
      <c r="E12" s="194">
        <f>'Category Detail (2016)'!D56</f>
        <v>0</v>
      </c>
      <c r="F12" s="195">
        <f>'Category Detail (2016)'!E56</f>
        <v>80000</v>
      </c>
      <c r="G12" s="74">
        <f>'Category Detail (2016)'!F56</f>
        <v>18000</v>
      </c>
      <c r="H12" s="199">
        <f t="shared" si="2"/>
        <v>4.810583283223091E-2</v>
      </c>
      <c r="I12" s="203"/>
      <c r="J12" s="194">
        <v>20000</v>
      </c>
      <c r="K12" s="194">
        <v>20000</v>
      </c>
      <c r="L12" s="194">
        <v>0</v>
      </c>
      <c r="M12" s="76">
        <v>40000</v>
      </c>
      <c r="N12" s="196">
        <v>55000</v>
      </c>
      <c r="O12" s="75">
        <f t="shared" si="0"/>
        <v>2.4425989252564728E-2</v>
      </c>
      <c r="P12" s="19"/>
      <c r="Q12" s="194">
        <v>25000</v>
      </c>
      <c r="R12" s="194">
        <v>40000</v>
      </c>
      <c r="S12" s="76">
        <v>65000</v>
      </c>
      <c r="T12" s="196">
        <v>75000</v>
      </c>
      <c r="U12" s="75">
        <f t="shared" si="1"/>
        <v>4.412763068567549E-2</v>
      </c>
      <c r="W12" s="359" t="s">
        <v>174</v>
      </c>
      <c r="X12" s="347">
        <f>SUM(Q12:Q14)</f>
        <v>174000</v>
      </c>
      <c r="Y12" s="347">
        <f>SUM(R12:R14)</f>
        <v>236000</v>
      </c>
      <c r="Z12" s="347">
        <f>SUM(S12:S14)</f>
        <v>410000</v>
      </c>
      <c r="AA12" s="362">
        <f>Z12/$Z$15</f>
        <v>0.27834351663272233</v>
      </c>
      <c r="AB12" s="389">
        <f>SUM(J12:J14)</f>
        <v>175100</v>
      </c>
      <c r="AC12" s="347">
        <f>SUM(K12:K14)</f>
        <v>20000</v>
      </c>
      <c r="AD12" s="347">
        <f>SUM(L12:L14)</f>
        <v>125000</v>
      </c>
      <c r="AE12" s="347">
        <f>SUM(M12:M14)</f>
        <v>320100</v>
      </c>
      <c r="AF12" s="362">
        <f>AE12/$AE$15</f>
        <v>0.19546897899364923</v>
      </c>
      <c r="AG12" s="395">
        <f>SUM(C12:C14)</f>
        <v>237500</v>
      </c>
      <c r="AH12" s="347">
        <f t="shared" ref="AH12:AI12" si="4">SUM(D12:D14)</f>
        <v>85000</v>
      </c>
      <c r="AI12" s="347">
        <f t="shared" si="4"/>
        <v>135000</v>
      </c>
      <c r="AJ12" s="347">
        <f>SUM(F12:F14)</f>
        <v>457500</v>
      </c>
      <c r="AK12" s="386">
        <f>AJ12/$AJ$15</f>
        <v>0.27510523150932048</v>
      </c>
      <c r="AL12" s="11"/>
      <c r="AM12" s="11"/>
      <c r="AN12" s="11"/>
      <c r="AO12" s="11"/>
      <c r="AP12" s="11"/>
    </row>
    <row r="13" spans="2:63" ht="38.25" customHeight="1">
      <c r="B13" s="73" t="s">
        <v>19</v>
      </c>
      <c r="C13" s="194">
        <f>'Category Detail (2016)'!B63</f>
        <v>169200</v>
      </c>
      <c r="D13" s="194">
        <f>'Category Detail (2016)'!C63</f>
        <v>65000</v>
      </c>
      <c r="E13" s="194">
        <f>'Category Detail (2016)'!D63</f>
        <v>0</v>
      </c>
      <c r="F13" s="195">
        <f>'Category Detail (2016)'!E63</f>
        <v>234200</v>
      </c>
      <c r="G13" s="74">
        <f>'Category Detail (2016)'!F63</f>
        <v>25000</v>
      </c>
      <c r="H13" s="199">
        <f t="shared" si="2"/>
        <v>0.14082982561635599</v>
      </c>
      <c r="I13" s="63"/>
      <c r="J13" s="194">
        <v>146800</v>
      </c>
      <c r="K13" s="194">
        <v>0</v>
      </c>
      <c r="L13" s="194">
        <v>0</v>
      </c>
      <c r="M13" s="76">
        <v>146800</v>
      </c>
      <c r="N13" s="196">
        <v>5000</v>
      </c>
      <c r="O13" s="75">
        <f t="shared" si="0"/>
        <v>8.9643380556912552E-2</v>
      </c>
      <c r="P13" s="19"/>
      <c r="Q13" s="194">
        <v>145000</v>
      </c>
      <c r="R13" s="194">
        <v>0</v>
      </c>
      <c r="S13" s="76">
        <v>145000</v>
      </c>
      <c r="T13" s="196">
        <v>5000</v>
      </c>
      <c r="U13" s="75">
        <f t="shared" si="1"/>
        <v>9.8438560760353025E-2</v>
      </c>
      <c r="W13" s="360"/>
      <c r="X13" s="348"/>
      <c r="Y13" s="348"/>
      <c r="Z13" s="348"/>
      <c r="AA13" s="363"/>
      <c r="AB13" s="390"/>
      <c r="AC13" s="348"/>
      <c r="AD13" s="348"/>
      <c r="AE13" s="348"/>
      <c r="AF13" s="363"/>
      <c r="AG13" s="396"/>
      <c r="AH13" s="348"/>
      <c r="AI13" s="348"/>
      <c r="AJ13" s="348"/>
      <c r="AK13" s="387"/>
      <c r="AL13" s="11"/>
      <c r="AM13" s="11"/>
      <c r="AN13" s="11"/>
      <c r="AO13" s="11"/>
      <c r="AP13" s="11"/>
    </row>
    <row r="14" spans="2:63" ht="38.25" customHeight="1">
      <c r="B14" s="73" t="s">
        <v>51</v>
      </c>
      <c r="C14" s="194">
        <f>'Category Detail (2016)'!B73</f>
        <v>8300</v>
      </c>
      <c r="D14" s="194">
        <f>'Category Detail (2016)'!C73</f>
        <v>0</v>
      </c>
      <c r="E14" s="194">
        <f>'Category Detail (2016)'!D73</f>
        <v>135000</v>
      </c>
      <c r="F14" s="195">
        <f>'Category Detail (2016)'!E73</f>
        <v>143300</v>
      </c>
      <c r="G14" s="74">
        <f>'Category Detail (2016)'!F73</f>
        <v>77500</v>
      </c>
      <c r="H14" s="199">
        <f t="shared" si="2"/>
        <v>8.6169573060733612E-2</v>
      </c>
      <c r="I14" s="63"/>
      <c r="J14" s="194">
        <v>8300</v>
      </c>
      <c r="K14" s="194">
        <v>0</v>
      </c>
      <c r="L14" s="194">
        <v>125000</v>
      </c>
      <c r="M14" s="76">
        <v>133300</v>
      </c>
      <c r="N14" s="196">
        <v>87000</v>
      </c>
      <c r="O14" s="75">
        <f t="shared" si="0"/>
        <v>8.1399609184171953E-2</v>
      </c>
      <c r="P14" s="19"/>
      <c r="Q14" s="194">
        <v>4000</v>
      </c>
      <c r="R14" s="194">
        <v>196000</v>
      </c>
      <c r="S14" s="76">
        <v>200000</v>
      </c>
      <c r="T14" s="196">
        <v>112000</v>
      </c>
      <c r="U14" s="75">
        <f t="shared" si="1"/>
        <v>0.13577732518669383</v>
      </c>
      <c r="W14" s="361"/>
      <c r="X14" s="349"/>
      <c r="Y14" s="349"/>
      <c r="Z14" s="349"/>
      <c r="AA14" s="364"/>
      <c r="AB14" s="391"/>
      <c r="AC14" s="349"/>
      <c r="AD14" s="349"/>
      <c r="AE14" s="349"/>
      <c r="AF14" s="364"/>
      <c r="AG14" s="397"/>
      <c r="AH14" s="349"/>
      <c r="AI14" s="349"/>
      <c r="AJ14" s="349"/>
      <c r="AK14" s="388"/>
      <c r="AL14" s="11"/>
      <c r="AM14" s="11"/>
      <c r="AN14" s="11"/>
      <c r="AO14" s="11"/>
      <c r="AP14" s="11"/>
    </row>
    <row r="15" spans="2:63" ht="38.25" customHeight="1">
      <c r="B15" s="77" t="s">
        <v>20</v>
      </c>
      <c r="C15" s="78">
        <f>SUM(C6:C14)</f>
        <v>508000</v>
      </c>
      <c r="D15" s="78">
        <f t="shared" ref="D15:G15" si="5">SUM(D6:D14)</f>
        <v>1020000</v>
      </c>
      <c r="E15" s="78">
        <f t="shared" si="5"/>
        <v>135000</v>
      </c>
      <c r="F15" s="79">
        <f t="shared" si="5"/>
        <v>1663000</v>
      </c>
      <c r="G15" s="80">
        <f t="shared" si="5"/>
        <v>148100</v>
      </c>
      <c r="H15" s="81">
        <f>SUM(H6:H14)</f>
        <v>0.99999999999999989</v>
      </c>
      <c r="I15" s="63"/>
      <c r="J15" s="78">
        <f t="shared" ref="J15:O15" si="6">SUM(J6:J14)</f>
        <v>425600</v>
      </c>
      <c r="K15" s="78">
        <f t="shared" si="6"/>
        <v>1087000</v>
      </c>
      <c r="L15" s="78">
        <f t="shared" si="6"/>
        <v>125000</v>
      </c>
      <c r="M15" s="82">
        <f t="shared" si="6"/>
        <v>1637600</v>
      </c>
      <c r="N15" s="83">
        <f t="shared" si="6"/>
        <v>201600</v>
      </c>
      <c r="O15" s="81">
        <f t="shared" si="6"/>
        <v>1</v>
      </c>
      <c r="P15" s="19"/>
      <c r="Q15" s="78">
        <f>SUM(Q6:Q14)</f>
        <v>482000</v>
      </c>
      <c r="R15" s="78">
        <f>SUM(R6:R14)</f>
        <v>991000</v>
      </c>
      <c r="S15" s="82">
        <f>SUM(S6:S14)</f>
        <v>1473000</v>
      </c>
      <c r="T15" s="83">
        <f>SUM(T6:T14)</f>
        <v>277100</v>
      </c>
      <c r="U15" s="81">
        <f>SUM(U6:U14)</f>
        <v>1</v>
      </c>
      <c r="W15" s="87" t="s">
        <v>20</v>
      </c>
      <c r="X15" s="78">
        <f>SUM(X6:X14)</f>
        <v>482000</v>
      </c>
      <c r="Y15" s="78">
        <f t="shared" ref="Y15:Z15" si="7">SUM(Y6:Y14)</f>
        <v>991000</v>
      </c>
      <c r="Z15" s="79">
        <f t="shared" si="7"/>
        <v>1473000</v>
      </c>
      <c r="AA15" s="201">
        <f>SUM(AA6:AA14)</f>
        <v>1</v>
      </c>
      <c r="AB15" s="83">
        <f t="shared" ref="AB15:AE15" si="8">SUM(AB6:AB14)</f>
        <v>425600</v>
      </c>
      <c r="AC15" s="78">
        <f t="shared" si="8"/>
        <v>1087000</v>
      </c>
      <c r="AD15" s="78">
        <f t="shared" si="8"/>
        <v>125000</v>
      </c>
      <c r="AE15" s="78">
        <f t="shared" si="8"/>
        <v>1637600</v>
      </c>
      <c r="AF15" s="81">
        <f>SUM(AF6:AF14)</f>
        <v>1</v>
      </c>
      <c r="AG15" s="191">
        <f t="shared" ref="AG15:AJ15" si="9">SUM(AG6:AG14)</f>
        <v>508000</v>
      </c>
      <c r="AH15" s="78">
        <f t="shared" si="9"/>
        <v>1020000</v>
      </c>
      <c r="AI15" s="78">
        <f t="shared" si="9"/>
        <v>135000</v>
      </c>
      <c r="AJ15" s="78">
        <f t="shared" si="9"/>
        <v>1663000</v>
      </c>
      <c r="AK15" s="81">
        <f>SUM(AK6:AK14)</f>
        <v>1</v>
      </c>
      <c r="AL15" s="11"/>
      <c r="AM15" s="11"/>
      <c r="AN15" s="11"/>
      <c r="AO15" s="11"/>
      <c r="AP15" s="11"/>
    </row>
    <row r="16" spans="2:63">
      <c r="F16" s="202"/>
      <c r="J16" s="202"/>
      <c r="K16" s="202"/>
      <c r="L16" s="8"/>
      <c r="R16" s="8"/>
      <c r="AM16" s="11"/>
      <c r="AN16" s="11"/>
      <c r="AO16" s="11"/>
      <c r="AP16" s="11"/>
      <c r="BK16" s="200"/>
    </row>
    <row r="122" spans="15:18">
      <c r="P122">
        <v>2014</v>
      </c>
      <c r="Q122">
        <v>2015</v>
      </c>
      <c r="R122">
        <v>2016</v>
      </c>
    </row>
    <row r="123" spans="15:18">
      <c r="O123" s="223" t="s">
        <v>175</v>
      </c>
      <c r="P123" s="202">
        <f>Q15</f>
        <v>482000</v>
      </c>
      <c r="Q123" s="202">
        <f>J15</f>
        <v>425600</v>
      </c>
      <c r="R123" s="202">
        <f>C15</f>
        <v>508000</v>
      </c>
    </row>
    <row r="124" spans="15:18">
      <c r="P124">
        <v>2014</v>
      </c>
      <c r="Q124">
        <v>2015</v>
      </c>
      <c r="R124">
        <v>2016</v>
      </c>
    </row>
    <row r="125" spans="15:18">
      <c r="O125" s="223" t="s">
        <v>270</v>
      </c>
      <c r="P125" s="202">
        <f>R15</f>
        <v>991000</v>
      </c>
      <c r="Q125" s="202">
        <f>L15+K15</f>
        <v>1212000</v>
      </c>
      <c r="R125" s="202">
        <f>D15+E15</f>
        <v>1155000</v>
      </c>
    </row>
  </sheetData>
  <mergeCells count="53">
    <mergeCell ref="AG4:AJ4"/>
    <mergeCell ref="AB4:AF4"/>
    <mergeCell ref="X4:AA4"/>
    <mergeCell ref="AI6:AI8"/>
    <mergeCell ref="AI9:AI11"/>
    <mergeCell ref="AC6:AC8"/>
    <mergeCell ref="AE6:AE8"/>
    <mergeCell ref="AF6:AF8"/>
    <mergeCell ref="AG9:AG11"/>
    <mergeCell ref="AD9:AD11"/>
    <mergeCell ref="C4:G4"/>
    <mergeCell ref="J4:N4"/>
    <mergeCell ref="J3:N3"/>
    <mergeCell ref="Q4:T4"/>
    <mergeCell ref="Q3:T3"/>
    <mergeCell ref="AK9:AK11"/>
    <mergeCell ref="AK12:AK14"/>
    <mergeCell ref="AH9:AH11"/>
    <mergeCell ref="AB12:AB14"/>
    <mergeCell ref="AC12:AC14"/>
    <mergeCell ref="AE12:AE14"/>
    <mergeCell ref="AF12:AF14"/>
    <mergeCell ref="AB9:AB11"/>
    <mergeCell ref="AC9:AC11"/>
    <mergeCell ref="AE9:AE11"/>
    <mergeCell ref="AF9:AF11"/>
    <mergeCell ref="AJ12:AJ14"/>
    <mergeCell ref="AJ9:AJ11"/>
    <mergeCell ref="AG12:AG14"/>
    <mergeCell ref="AH12:AH14"/>
    <mergeCell ref="AI12:AI14"/>
    <mergeCell ref="AK6:AK8"/>
    <mergeCell ref="AG6:AG8"/>
    <mergeCell ref="AH6:AH8"/>
    <mergeCell ref="AJ6:AJ8"/>
    <mergeCell ref="W6:W8"/>
    <mergeCell ref="X6:X8"/>
    <mergeCell ref="Y6:Y8"/>
    <mergeCell ref="Z6:Z8"/>
    <mergeCell ref="AA6:AA8"/>
    <mergeCell ref="AB6:AB8"/>
    <mergeCell ref="AD6:AD8"/>
    <mergeCell ref="AD12:AD14"/>
    <mergeCell ref="W9:W11"/>
    <mergeCell ref="X9:X11"/>
    <mergeCell ref="Y9:Y11"/>
    <mergeCell ref="Z9:Z11"/>
    <mergeCell ref="AA9:AA11"/>
    <mergeCell ref="W12:W14"/>
    <mergeCell ref="X12:X14"/>
    <mergeCell ref="Y12:Y14"/>
    <mergeCell ref="Z12:Z14"/>
    <mergeCell ref="AA12:AA14"/>
  </mergeCells>
  <pageMargins left="0.7" right="0.7" top="0.75" bottom="0.75" header="0.3" footer="0.3"/>
  <ignoredErrors>
    <ignoredError sqref="X6" formulaRange="1"/>
  </ignoredError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Z93"/>
  <sheetViews>
    <sheetView tabSelected="1" topLeftCell="A7" zoomScale="80" zoomScaleNormal="80" workbookViewId="0">
      <pane ySplit="2" topLeftCell="A9" activePane="bottomLeft" state="frozen"/>
      <selection activeCell="A7" sqref="A7"/>
      <selection pane="bottomLeft" activeCell="B24" sqref="B24"/>
    </sheetView>
  </sheetViews>
  <sheetFormatPr defaultColWidth="8.85546875" defaultRowHeight="15.75"/>
  <cols>
    <col min="1" max="1" width="79.85546875" style="19" bestFit="1" customWidth="1"/>
    <col min="2" max="2" width="15.28515625" style="19" bestFit="1" customWidth="1"/>
    <col min="3" max="3" width="13.42578125" style="19" bestFit="1" customWidth="1"/>
    <col min="4" max="4" width="13.42578125" style="19" customWidth="1"/>
    <col min="5" max="5" width="15.28515625" style="19" bestFit="1" customWidth="1"/>
    <col min="6" max="6" width="15.42578125" style="19" bestFit="1" customWidth="1"/>
    <col min="7" max="7" width="13.140625" style="19" bestFit="1" customWidth="1"/>
    <col min="8" max="8" width="8" style="19" bestFit="1" customWidth="1"/>
    <col min="9" max="10" width="10.7109375" style="19" bestFit="1" customWidth="1"/>
    <col min="11" max="11" width="10.7109375" style="19" customWidth="1"/>
    <col min="12" max="12" width="9.140625" style="19" bestFit="1" customWidth="1"/>
    <col min="13" max="13" width="180.28515625" style="19" bestFit="1" customWidth="1"/>
    <col min="14" max="14" width="8.85546875" style="30"/>
    <col min="15" max="16384" width="8.85546875" style="19"/>
  </cols>
  <sheetData>
    <row r="1" spans="1:26">
      <c r="A1" s="19" t="s">
        <v>246</v>
      </c>
    </row>
    <row r="2" spans="1:26">
      <c r="A2" s="31" t="str">
        <f>'Table of Contents'!B2</f>
        <v>FINAL Work Plan; Council Approval on October 13, 2015</v>
      </c>
    </row>
    <row r="3" spans="1:26">
      <c r="A3" s="32"/>
    </row>
    <row r="4" spans="1:26">
      <c r="A4" s="19" t="s">
        <v>104</v>
      </c>
    </row>
    <row r="5" spans="1:26">
      <c r="A5" s="19" t="s">
        <v>105</v>
      </c>
    </row>
    <row r="7" spans="1:26" ht="29.25" customHeight="1">
      <c r="E7" s="12">
        <f>E76</f>
        <v>1663000</v>
      </c>
      <c r="F7" s="93">
        <f>'Funding Shares'!D20</f>
        <v>1663000</v>
      </c>
      <c r="G7" s="93">
        <f>F7-E7</f>
        <v>0</v>
      </c>
      <c r="H7" s="409" t="s">
        <v>103</v>
      </c>
      <c r="I7" s="410"/>
      <c r="J7" s="410"/>
      <c r="K7" s="410"/>
      <c r="L7" s="411"/>
    </row>
    <row r="8" spans="1:26" s="37" customFormat="1" ht="63">
      <c r="A8" s="33" t="s">
        <v>156</v>
      </c>
      <c r="B8" s="34" t="s">
        <v>175</v>
      </c>
      <c r="C8" s="286" t="s">
        <v>247</v>
      </c>
      <c r="D8" s="286" t="s">
        <v>177</v>
      </c>
      <c r="E8" s="34" t="s">
        <v>147</v>
      </c>
      <c r="F8" s="34" t="s">
        <v>146</v>
      </c>
      <c r="G8" s="34" t="s">
        <v>168</v>
      </c>
      <c r="H8" s="94" t="s">
        <v>70</v>
      </c>
      <c r="I8" s="94" t="s">
        <v>71</v>
      </c>
      <c r="J8" s="94" t="s">
        <v>249</v>
      </c>
      <c r="K8" s="94" t="s">
        <v>248</v>
      </c>
      <c r="L8" s="94" t="s">
        <v>27</v>
      </c>
      <c r="M8" s="13" t="s">
        <v>109</v>
      </c>
      <c r="N8" s="36"/>
    </row>
    <row r="9" spans="1:26" s="37" customFormat="1">
      <c r="A9" s="14" t="s">
        <v>52</v>
      </c>
      <c r="B9" s="15"/>
      <c r="C9" s="15"/>
      <c r="D9" s="15"/>
      <c r="E9" s="15"/>
      <c r="F9" s="15"/>
      <c r="G9" s="18"/>
      <c r="H9" s="275"/>
      <c r="I9" s="276"/>
      <c r="J9" s="275"/>
      <c r="K9" s="275"/>
      <c r="L9" s="275"/>
      <c r="M9" s="18"/>
      <c r="N9" s="38"/>
      <c r="O9" s="18"/>
      <c r="P9" s="18"/>
      <c r="Q9" s="18"/>
      <c r="R9" s="18"/>
      <c r="S9" s="18"/>
      <c r="T9" s="18"/>
      <c r="U9" s="18"/>
      <c r="V9" s="18"/>
      <c r="W9" s="18"/>
      <c r="X9" s="18"/>
      <c r="Y9" s="18"/>
      <c r="Z9" s="18"/>
    </row>
    <row r="10" spans="1:26" s="37" customFormat="1">
      <c r="A10" s="16" t="s">
        <v>303</v>
      </c>
      <c r="B10" s="40">
        <f>H10*I10</f>
        <v>25500</v>
      </c>
      <c r="C10" s="40">
        <f t="shared" ref="C10:C15" si="0">H10*J10</f>
        <v>170000</v>
      </c>
      <c r="D10" s="40">
        <f>H10*K10</f>
        <v>0</v>
      </c>
      <c r="E10" s="40">
        <f>SUM(B10:D10)</f>
        <v>195500</v>
      </c>
      <c r="F10" s="40">
        <f>H10*L10</f>
        <v>5100</v>
      </c>
      <c r="G10" s="204"/>
      <c r="H10" s="277">
        <v>17</v>
      </c>
      <c r="I10" s="276">
        <v>1500</v>
      </c>
      <c r="J10" s="278">
        <v>10000</v>
      </c>
      <c r="K10" s="278">
        <v>0</v>
      </c>
      <c r="L10" s="278">
        <v>300</v>
      </c>
      <c r="M10" s="17" t="s">
        <v>349</v>
      </c>
      <c r="N10" s="38"/>
      <c r="O10" s="18"/>
      <c r="P10" s="18"/>
      <c r="Q10" s="18"/>
      <c r="R10" s="18"/>
      <c r="S10" s="18"/>
      <c r="T10" s="18"/>
      <c r="U10" s="18"/>
      <c r="V10" s="18"/>
      <c r="W10" s="18"/>
      <c r="X10" s="18"/>
      <c r="Y10" s="18"/>
      <c r="Z10" s="18"/>
    </row>
    <row r="11" spans="1:26" s="37" customFormat="1">
      <c r="A11" s="16" t="s">
        <v>309</v>
      </c>
      <c r="B11" s="40">
        <f>H11*I11</f>
        <v>0</v>
      </c>
      <c r="C11" s="40">
        <f t="shared" ref="C11" si="1">H11*J11</f>
        <v>20000</v>
      </c>
      <c r="D11" s="40">
        <f>H11*K11</f>
        <v>0</v>
      </c>
      <c r="E11" s="40">
        <f>SUM(B11:D11)</f>
        <v>20000</v>
      </c>
      <c r="F11" s="40">
        <f>H11*L11</f>
        <v>600</v>
      </c>
      <c r="G11" s="204"/>
      <c r="H11" s="277">
        <v>2</v>
      </c>
      <c r="I11" s="276">
        <v>0</v>
      </c>
      <c r="J11" s="278">
        <v>10000</v>
      </c>
      <c r="K11" s="278">
        <v>0</v>
      </c>
      <c r="L11" s="278">
        <v>300</v>
      </c>
      <c r="M11" s="17" t="s">
        <v>312</v>
      </c>
      <c r="N11" s="38"/>
      <c r="O11" s="18"/>
      <c r="P11" s="18"/>
      <c r="Q11" s="18"/>
      <c r="R11" s="18"/>
      <c r="S11" s="18"/>
      <c r="T11" s="18"/>
      <c r="U11" s="18"/>
      <c r="V11" s="18"/>
      <c r="W11" s="18"/>
      <c r="X11" s="18"/>
      <c r="Y11" s="18"/>
      <c r="Z11" s="18"/>
    </row>
    <row r="12" spans="1:26" s="37" customFormat="1">
      <c r="A12" s="16" t="s">
        <v>183</v>
      </c>
      <c r="B12" s="40">
        <f t="shared" ref="B12" si="2">H12*I12</f>
        <v>0</v>
      </c>
      <c r="C12" s="40">
        <f t="shared" ref="C12" si="3">H12*J12</f>
        <v>60000</v>
      </c>
      <c r="D12" s="40">
        <f t="shared" ref="D12" si="4">H12*K12</f>
        <v>0</v>
      </c>
      <c r="E12" s="40">
        <f t="shared" ref="E12" si="5">SUM(B12:D12)</f>
        <v>60000</v>
      </c>
      <c r="F12" s="40">
        <f t="shared" ref="F12" si="6">H12*L12</f>
        <v>900</v>
      </c>
      <c r="G12" s="206"/>
      <c r="H12" s="277">
        <v>3</v>
      </c>
      <c r="I12" s="276">
        <v>0</v>
      </c>
      <c r="J12" s="278">
        <v>20000</v>
      </c>
      <c r="K12" s="278">
        <v>0</v>
      </c>
      <c r="L12" s="278">
        <v>300</v>
      </c>
      <c r="M12" s="17" t="s">
        <v>310</v>
      </c>
      <c r="N12" s="38"/>
      <c r="O12" s="18"/>
      <c r="P12" s="18"/>
      <c r="Q12" s="18"/>
      <c r="R12" s="18"/>
      <c r="S12" s="18"/>
      <c r="T12" s="18"/>
      <c r="U12" s="18"/>
      <c r="V12" s="18"/>
      <c r="W12" s="18"/>
      <c r="X12" s="18"/>
      <c r="Y12" s="18"/>
      <c r="Z12" s="18"/>
    </row>
    <row r="13" spans="1:26" s="37" customFormat="1">
      <c r="A13" s="17" t="s">
        <v>311</v>
      </c>
      <c r="B13" s="40">
        <v>0</v>
      </c>
      <c r="C13" s="40">
        <v>35000</v>
      </c>
      <c r="D13" s="40">
        <v>0</v>
      </c>
      <c r="E13" s="40">
        <f t="shared" ref="E13:E15" si="7">SUM(B13:D13)</f>
        <v>35000</v>
      </c>
      <c r="F13" s="40">
        <v>1200</v>
      </c>
      <c r="G13" s="204"/>
      <c r="H13" s="343" t="s">
        <v>337</v>
      </c>
      <c r="I13" s="276">
        <v>0</v>
      </c>
      <c r="J13" s="278">
        <v>0</v>
      </c>
      <c r="K13" s="278">
        <v>0</v>
      </c>
      <c r="L13" s="278">
        <v>300</v>
      </c>
      <c r="M13" s="17" t="s">
        <v>348</v>
      </c>
      <c r="N13" s="39"/>
      <c r="O13" s="18"/>
      <c r="P13" s="18"/>
      <c r="Q13" s="18"/>
      <c r="R13" s="18"/>
      <c r="S13" s="18"/>
      <c r="T13" s="18"/>
      <c r="U13" s="18"/>
      <c r="V13" s="18"/>
      <c r="W13" s="18"/>
      <c r="X13" s="18"/>
      <c r="Y13" s="18"/>
      <c r="Z13" s="18"/>
    </row>
    <row r="14" spans="1:26" s="37" customFormat="1">
      <c r="A14" s="17" t="s">
        <v>313</v>
      </c>
      <c r="B14" s="40">
        <f>H14*I14</f>
        <v>25000</v>
      </c>
      <c r="C14" s="40">
        <f t="shared" si="0"/>
        <v>40000</v>
      </c>
      <c r="D14" s="40">
        <f>H14*K14</f>
        <v>0</v>
      </c>
      <c r="E14" s="40">
        <f t="shared" si="7"/>
        <v>65000</v>
      </c>
      <c r="F14" s="40">
        <f>H14*L14</f>
        <v>600</v>
      </c>
      <c r="G14" s="204"/>
      <c r="H14" s="277">
        <v>2</v>
      </c>
      <c r="I14" s="276">
        <v>12500</v>
      </c>
      <c r="J14" s="278">
        <v>20000</v>
      </c>
      <c r="K14" s="278">
        <v>0</v>
      </c>
      <c r="L14" s="278">
        <v>300</v>
      </c>
      <c r="M14" s="17" t="s">
        <v>347</v>
      </c>
      <c r="N14" s="39"/>
      <c r="O14" s="18"/>
      <c r="P14" s="18"/>
      <c r="Q14" s="18"/>
      <c r="R14" s="18"/>
      <c r="S14" s="18"/>
      <c r="T14" s="18"/>
      <c r="U14" s="18"/>
      <c r="V14" s="18"/>
      <c r="W14" s="18"/>
      <c r="X14" s="18"/>
      <c r="Y14" s="18"/>
      <c r="Z14" s="18"/>
    </row>
    <row r="15" spans="1:26" s="37" customFormat="1">
      <c r="A15" s="17" t="s">
        <v>316</v>
      </c>
      <c r="B15" s="40">
        <f t="shared" ref="B15" si="8">H15*I15</f>
        <v>77000</v>
      </c>
      <c r="C15" s="40">
        <f t="shared" si="0"/>
        <v>0</v>
      </c>
      <c r="D15" s="40">
        <f t="shared" ref="D15" si="9">H15*K15</f>
        <v>0</v>
      </c>
      <c r="E15" s="40">
        <f t="shared" si="7"/>
        <v>77000</v>
      </c>
      <c r="F15" s="40">
        <f t="shared" ref="F15" si="10">H15*L15</f>
        <v>0</v>
      </c>
      <c r="G15" s="204"/>
      <c r="H15" s="277">
        <v>22</v>
      </c>
      <c r="I15" s="276">
        <v>3500</v>
      </c>
      <c r="J15" s="278">
        <v>0</v>
      </c>
      <c r="K15" s="278">
        <v>0</v>
      </c>
      <c r="L15" s="278">
        <v>0</v>
      </c>
      <c r="M15" s="17" t="s">
        <v>315</v>
      </c>
      <c r="N15" s="39"/>
      <c r="O15" s="18"/>
      <c r="P15" s="18"/>
      <c r="Q15" s="18"/>
      <c r="R15" s="18"/>
      <c r="S15" s="18"/>
      <c r="T15" s="18"/>
      <c r="U15" s="18"/>
      <c r="V15" s="18"/>
      <c r="W15" s="18"/>
      <c r="X15" s="18"/>
      <c r="Y15" s="18"/>
      <c r="Z15" s="18"/>
    </row>
    <row r="16" spans="1:26" s="37" customFormat="1">
      <c r="A16" s="14" t="str">
        <f>CONCATENATE("Subtotal ",A9)</f>
        <v>Subtotal Existing Measure Review &amp; Updates</v>
      </c>
      <c r="B16" s="207">
        <f>SUM(B10:B15)</f>
        <v>127500</v>
      </c>
      <c r="C16" s="207">
        <f>SUM(C10:C15)</f>
        <v>325000</v>
      </c>
      <c r="D16" s="207">
        <f t="shared" ref="D16:F16" si="11">SUM(D10:D15)</f>
        <v>0</v>
      </c>
      <c r="E16" s="207">
        <f t="shared" si="11"/>
        <v>452500</v>
      </c>
      <c r="F16" s="207">
        <f t="shared" si="11"/>
        <v>8400</v>
      </c>
      <c r="G16" s="208">
        <f>E16/$E$76</f>
        <v>0.27209861695730608</v>
      </c>
      <c r="H16" s="277"/>
      <c r="I16" s="276"/>
      <c r="J16" s="279"/>
      <c r="K16" s="279"/>
      <c r="L16" s="278"/>
      <c r="M16" s="18"/>
      <c r="N16" s="38"/>
      <c r="O16" s="18"/>
      <c r="P16" s="18"/>
      <c r="Q16" s="18"/>
      <c r="R16" s="18"/>
      <c r="S16" s="18"/>
      <c r="T16" s="18"/>
      <c r="U16" s="18"/>
      <c r="V16" s="18"/>
      <c r="W16" s="18"/>
      <c r="X16" s="18"/>
      <c r="Y16" s="18"/>
      <c r="Z16" s="18"/>
    </row>
    <row r="17" spans="1:26" s="37" customFormat="1">
      <c r="A17" s="18"/>
      <c r="B17" s="40"/>
      <c r="C17" s="40"/>
      <c r="D17" s="40"/>
      <c r="E17" s="40"/>
      <c r="F17" s="209"/>
      <c r="G17" s="205"/>
      <c r="H17" s="277"/>
      <c r="I17" s="277"/>
      <c r="J17" s="280"/>
      <c r="K17" s="280"/>
      <c r="L17" s="278"/>
      <c r="M17" s="18"/>
      <c r="N17" s="38"/>
      <c r="O17" s="18"/>
      <c r="P17" s="18"/>
      <c r="Q17" s="18"/>
      <c r="R17" s="18"/>
      <c r="S17" s="18"/>
      <c r="T17" s="18"/>
      <c r="U17" s="18"/>
      <c r="V17" s="18"/>
      <c r="W17" s="18"/>
      <c r="X17" s="18"/>
      <c r="Y17" s="18"/>
      <c r="Z17" s="18"/>
    </row>
    <row r="18" spans="1:26" s="37" customFormat="1">
      <c r="A18" s="18"/>
      <c r="B18" s="40"/>
      <c r="C18" s="40"/>
      <c r="D18" s="40"/>
      <c r="E18" s="40"/>
      <c r="F18" s="209"/>
      <c r="G18" s="205"/>
      <c r="H18" s="277"/>
      <c r="I18" s="277"/>
      <c r="J18" s="278"/>
      <c r="K18" s="278"/>
      <c r="L18" s="278"/>
      <c r="M18" s="18"/>
      <c r="N18" s="38"/>
      <c r="O18" s="18"/>
      <c r="P18" s="18"/>
      <c r="Q18" s="18"/>
      <c r="R18" s="18"/>
      <c r="S18" s="18"/>
      <c r="T18" s="18"/>
      <c r="U18" s="18"/>
      <c r="V18" s="18"/>
      <c r="W18" s="18"/>
      <c r="X18" s="18"/>
      <c r="Y18" s="18"/>
      <c r="Z18" s="18"/>
    </row>
    <row r="19" spans="1:26" s="37" customFormat="1">
      <c r="A19" s="14" t="s">
        <v>67</v>
      </c>
      <c r="B19" s="40"/>
      <c r="C19" s="40"/>
      <c r="D19" s="40"/>
      <c r="E19" s="40"/>
      <c r="F19" s="209"/>
      <c r="G19" s="205"/>
      <c r="H19" s="277"/>
      <c r="I19" s="276"/>
      <c r="J19" s="278"/>
      <c r="K19" s="278"/>
      <c r="L19" s="278"/>
      <c r="M19" s="18"/>
      <c r="N19" s="38"/>
      <c r="O19" s="18"/>
      <c r="P19" s="18"/>
      <c r="Q19" s="18"/>
      <c r="R19" s="18"/>
      <c r="S19" s="18"/>
      <c r="T19" s="18"/>
      <c r="U19" s="18"/>
      <c r="V19" s="18"/>
      <c r="W19" s="18"/>
      <c r="X19" s="18"/>
      <c r="Y19" s="18"/>
      <c r="Z19" s="18"/>
    </row>
    <row r="20" spans="1:26" s="37" customFormat="1">
      <c r="A20" s="17" t="s">
        <v>155</v>
      </c>
      <c r="B20" s="40">
        <f t="shared" ref="B20:B21" si="12">H20*I20</f>
        <v>40000</v>
      </c>
      <c r="C20" s="40">
        <f t="shared" ref="C20:C21" si="13">H20*J20</f>
        <v>0</v>
      </c>
      <c r="D20" s="40">
        <f>H20*K20</f>
        <v>0</v>
      </c>
      <c r="E20" s="40">
        <f>SUM(B20:D20)</f>
        <v>40000</v>
      </c>
      <c r="F20" s="40">
        <f t="shared" ref="F20:F21" si="14">H20*L20</f>
        <v>0</v>
      </c>
      <c r="G20" s="204"/>
      <c r="H20" s="277">
        <v>1</v>
      </c>
      <c r="I20" s="276">
        <v>40000</v>
      </c>
      <c r="J20" s="278">
        <v>0</v>
      </c>
      <c r="K20" s="278">
        <v>0</v>
      </c>
      <c r="L20" s="278">
        <v>0</v>
      </c>
      <c r="M20" s="17" t="s">
        <v>344</v>
      </c>
      <c r="N20" s="41"/>
      <c r="O20" s="18"/>
      <c r="P20" s="18"/>
      <c r="Q20" s="18"/>
      <c r="R20" s="18"/>
      <c r="S20" s="18"/>
      <c r="T20" s="18"/>
      <c r="U20" s="18"/>
      <c r="V20" s="18"/>
      <c r="W20" s="18"/>
      <c r="X20" s="18"/>
      <c r="Y20" s="18"/>
      <c r="Z20" s="18"/>
    </row>
    <row r="21" spans="1:26" s="37" customFormat="1">
      <c r="A21" s="17" t="s">
        <v>186</v>
      </c>
      <c r="B21" s="40">
        <f t="shared" si="12"/>
        <v>10000</v>
      </c>
      <c r="C21" s="40">
        <f t="shared" si="13"/>
        <v>100000</v>
      </c>
      <c r="D21" s="40">
        <f>H21*K21</f>
        <v>0</v>
      </c>
      <c r="E21" s="40">
        <f t="shared" ref="E21:E23" si="15">SUM(B21:D21)</f>
        <v>110000</v>
      </c>
      <c r="F21" s="40">
        <f t="shared" si="14"/>
        <v>1500</v>
      </c>
      <c r="G21" s="204"/>
      <c r="H21" s="277">
        <v>5</v>
      </c>
      <c r="I21" s="276">
        <v>2000</v>
      </c>
      <c r="J21" s="278">
        <v>20000</v>
      </c>
      <c r="K21" s="278">
        <v>0</v>
      </c>
      <c r="L21" s="278">
        <v>300</v>
      </c>
      <c r="M21" s="17" t="s">
        <v>353</v>
      </c>
      <c r="N21" s="38"/>
      <c r="O21" s="18"/>
      <c r="P21" s="18"/>
      <c r="Q21" s="18"/>
      <c r="R21" s="18"/>
      <c r="S21" s="18"/>
      <c r="T21" s="18"/>
      <c r="U21" s="18"/>
      <c r="V21" s="18"/>
      <c r="W21" s="18"/>
      <c r="X21" s="18"/>
      <c r="Y21" s="18"/>
      <c r="Z21" s="18"/>
    </row>
    <row r="22" spans="1:26" s="37" customFormat="1">
      <c r="A22" s="17" t="s">
        <v>187</v>
      </c>
      <c r="B22" s="40">
        <f t="shared" ref="B22:B23" si="16">H22*I22</f>
        <v>10000</v>
      </c>
      <c r="C22" s="40">
        <f t="shared" ref="C22:C23" si="17">H22*J22</f>
        <v>140000</v>
      </c>
      <c r="D22" s="40">
        <f>H22*K22</f>
        <v>0</v>
      </c>
      <c r="E22" s="40">
        <f t="shared" si="15"/>
        <v>150000</v>
      </c>
      <c r="F22" s="40">
        <f t="shared" ref="F22:F23" si="18">H22*L22</f>
        <v>1200</v>
      </c>
      <c r="G22" s="204"/>
      <c r="H22" s="277">
        <v>4</v>
      </c>
      <c r="I22" s="276">
        <v>2500</v>
      </c>
      <c r="J22" s="278">
        <v>35000</v>
      </c>
      <c r="K22" s="278">
        <v>0</v>
      </c>
      <c r="L22" s="278">
        <v>300</v>
      </c>
      <c r="M22" s="17" t="s">
        <v>357</v>
      </c>
      <c r="N22" s="38"/>
      <c r="O22" s="18"/>
      <c r="P22" s="18"/>
      <c r="Q22" s="18"/>
      <c r="R22" s="18"/>
      <c r="S22" s="18"/>
      <c r="T22" s="18"/>
      <c r="U22" s="18"/>
      <c r="V22" s="18"/>
      <c r="W22" s="18"/>
      <c r="X22" s="18"/>
      <c r="Y22" s="18"/>
      <c r="Z22" s="18"/>
    </row>
    <row r="23" spans="1:26" s="37" customFormat="1">
      <c r="A23" s="17" t="s">
        <v>317</v>
      </c>
      <c r="B23" s="40">
        <f t="shared" si="16"/>
        <v>28000</v>
      </c>
      <c r="C23" s="40">
        <f t="shared" si="17"/>
        <v>0</v>
      </c>
      <c r="D23" s="40">
        <f>H23*K23</f>
        <v>0</v>
      </c>
      <c r="E23" s="40">
        <f t="shared" si="15"/>
        <v>28000</v>
      </c>
      <c r="F23" s="40">
        <f t="shared" si="18"/>
        <v>0</v>
      </c>
      <c r="G23" s="204"/>
      <c r="H23" s="277">
        <v>8</v>
      </c>
      <c r="I23" s="276">
        <v>3500</v>
      </c>
      <c r="J23" s="278">
        <v>0</v>
      </c>
      <c r="K23" s="278">
        <v>0</v>
      </c>
      <c r="L23" s="278">
        <v>0</v>
      </c>
      <c r="M23" s="17" t="s">
        <v>314</v>
      </c>
      <c r="N23" s="38"/>
      <c r="O23" s="18"/>
      <c r="P23" s="18"/>
      <c r="Q23" s="18"/>
      <c r="R23" s="18"/>
      <c r="S23" s="18"/>
      <c r="T23" s="18"/>
      <c r="U23" s="18"/>
      <c r="V23" s="18"/>
      <c r="W23" s="18"/>
      <c r="X23" s="18"/>
      <c r="Y23" s="18"/>
      <c r="Z23" s="18"/>
    </row>
    <row r="24" spans="1:26" s="37" customFormat="1">
      <c r="A24" s="14" t="str">
        <f>CONCATENATE("Subtotal ",A19)</f>
        <v>Subtotal New Measure Development &amp; Review of Unsolicited Proposals</v>
      </c>
      <c r="B24" s="207">
        <f>SUM(B20:B23)</f>
        <v>88000</v>
      </c>
      <c r="C24" s="207">
        <f>SUM(C20:C23)</f>
        <v>240000</v>
      </c>
      <c r="D24" s="207">
        <f t="shared" ref="D24:E24" si="19">SUM(D20:D23)</f>
        <v>0</v>
      </c>
      <c r="E24" s="207">
        <f t="shared" si="19"/>
        <v>328000</v>
      </c>
      <c r="F24" s="207">
        <f>SUM(F20:F23)</f>
        <v>2700</v>
      </c>
      <c r="G24" s="208">
        <f>E24/$E$76</f>
        <v>0.19723391461214673</v>
      </c>
      <c r="H24" s="277"/>
      <c r="I24" s="277"/>
      <c r="J24" s="275"/>
      <c r="K24" s="275"/>
      <c r="L24" s="275"/>
      <c r="M24" s="17"/>
      <c r="N24" s="38"/>
      <c r="O24" s="18"/>
      <c r="P24" s="18"/>
      <c r="Q24" s="18"/>
      <c r="R24" s="18"/>
      <c r="S24" s="18"/>
      <c r="T24" s="18"/>
      <c r="U24" s="18"/>
      <c r="V24" s="18"/>
      <c r="W24" s="18"/>
      <c r="X24" s="18"/>
      <c r="Y24" s="18"/>
      <c r="Z24" s="18"/>
    </row>
    <row r="25" spans="1:26" s="37" customFormat="1">
      <c r="A25" s="14"/>
      <c r="B25" s="40"/>
      <c r="C25" s="40"/>
      <c r="D25" s="40"/>
      <c r="E25" s="40"/>
      <c r="F25" s="209"/>
      <c r="G25" s="205"/>
      <c r="H25" s="277"/>
      <c r="I25" s="277"/>
      <c r="J25" s="275"/>
      <c r="K25" s="275"/>
      <c r="L25" s="275"/>
      <c r="M25" s="17"/>
      <c r="N25" s="38"/>
      <c r="O25" s="18"/>
      <c r="P25" s="18"/>
      <c r="Q25" s="18"/>
      <c r="R25" s="18"/>
      <c r="S25" s="18"/>
      <c r="T25" s="18"/>
      <c r="U25" s="18"/>
      <c r="V25" s="18"/>
      <c r="W25" s="18"/>
      <c r="X25" s="18"/>
      <c r="Y25" s="18"/>
      <c r="Z25" s="18"/>
    </row>
    <row r="26" spans="1:26" s="37" customFormat="1">
      <c r="A26" s="18"/>
      <c r="B26" s="40"/>
      <c r="C26" s="40"/>
      <c r="D26" s="40"/>
      <c r="E26" s="40"/>
      <c r="F26" s="209"/>
      <c r="G26" s="205"/>
      <c r="H26" s="277"/>
      <c r="I26" s="277"/>
      <c r="J26" s="29"/>
      <c r="K26" s="29"/>
      <c r="L26" s="29"/>
      <c r="M26" s="17"/>
      <c r="N26" s="38"/>
      <c r="O26" s="18"/>
      <c r="P26" s="18"/>
      <c r="Q26" s="18"/>
      <c r="R26" s="18"/>
      <c r="S26" s="18"/>
      <c r="T26" s="18"/>
      <c r="U26" s="18"/>
      <c r="V26" s="18"/>
      <c r="W26" s="18"/>
      <c r="X26" s="18"/>
      <c r="Y26" s="18"/>
      <c r="Z26" s="18"/>
    </row>
    <row r="27" spans="1:26">
      <c r="A27" s="14" t="s">
        <v>50</v>
      </c>
      <c r="B27" s="16"/>
      <c r="C27" s="16"/>
      <c r="D27" s="16"/>
      <c r="E27" s="16"/>
      <c r="F27" s="16"/>
      <c r="G27" s="16"/>
      <c r="H27" s="148"/>
      <c r="I27" s="148"/>
      <c r="J27" s="29"/>
      <c r="K27" s="29"/>
      <c r="L27" s="29"/>
      <c r="M27" s="17"/>
      <c r="N27" s="41"/>
      <c r="O27" s="42"/>
      <c r="P27" s="42"/>
      <c r="Q27" s="42"/>
      <c r="R27" s="42"/>
      <c r="S27" s="42"/>
      <c r="T27" s="42"/>
      <c r="U27" s="42"/>
      <c r="V27" s="42"/>
      <c r="W27" s="42"/>
      <c r="X27" s="42"/>
      <c r="Y27" s="42"/>
      <c r="Z27" s="42"/>
    </row>
    <row r="28" spans="1:26">
      <c r="A28" s="17" t="s">
        <v>328</v>
      </c>
      <c r="B28" s="40">
        <f t="shared" ref="B28:B30" si="20">H28*I28</f>
        <v>30000</v>
      </c>
      <c r="C28" s="40">
        <f t="shared" ref="C28:C30" si="21">H28*J28</f>
        <v>10000</v>
      </c>
      <c r="D28" s="40">
        <f>H28*K28</f>
        <v>0</v>
      </c>
      <c r="E28" s="40">
        <f>SUM(B28:D28)</f>
        <v>40000</v>
      </c>
      <c r="F28" s="40">
        <f t="shared" ref="F28:F30" si="22">H28*L28</f>
        <v>500</v>
      </c>
      <c r="G28" s="16"/>
      <c r="H28" s="277">
        <v>1</v>
      </c>
      <c r="I28" s="276">
        <v>30000</v>
      </c>
      <c r="J28" s="278">
        <v>10000</v>
      </c>
      <c r="K28" s="278">
        <v>0</v>
      </c>
      <c r="L28" s="278">
        <v>500</v>
      </c>
      <c r="M28" s="17" t="s">
        <v>354</v>
      </c>
      <c r="N28" s="41"/>
      <c r="O28" s="42"/>
      <c r="P28" s="42"/>
      <c r="Q28" s="42"/>
      <c r="R28" s="42"/>
      <c r="S28" s="42"/>
      <c r="T28" s="42"/>
      <c r="U28" s="42"/>
      <c r="V28" s="42"/>
      <c r="W28" s="42"/>
      <c r="X28" s="42"/>
      <c r="Y28" s="42"/>
      <c r="Z28" s="42"/>
    </row>
    <row r="29" spans="1:26">
      <c r="A29" s="17" t="s">
        <v>261</v>
      </c>
      <c r="B29" s="40">
        <f t="shared" si="20"/>
        <v>0</v>
      </c>
      <c r="C29" s="40">
        <f t="shared" si="21"/>
        <v>15000</v>
      </c>
      <c r="D29" s="40">
        <v>0</v>
      </c>
      <c r="E29" s="40">
        <f t="shared" ref="E29:E31" si="23">SUM(B29:D29)</f>
        <v>15000</v>
      </c>
      <c r="F29" s="40">
        <f t="shared" si="22"/>
        <v>0</v>
      </c>
      <c r="G29" s="206"/>
      <c r="H29" s="277">
        <v>1</v>
      </c>
      <c r="I29" s="276">
        <v>0</v>
      </c>
      <c r="J29" s="278">
        <v>15000</v>
      </c>
      <c r="K29" s="278">
        <v>0</v>
      </c>
      <c r="L29" s="278">
        <v>0</v>
      </c>
      <c r="M29" s="17" t="s">
        <v>350</v>
      </c>
      <c r="N29" s="41"/>
      <c r="O29" s="42"/>
      <c r="P29" s="42"/>
      <c r="Q29" s="42"/>
      <c r="R29" s="42"/>
      <c r="S29" s="42"/>
      <c r="T29" s="42"/>
      <c r="U29" s="42"/>
      <c r="V29" s="42"/>
      <c r="W29" s="42"/>
      <c r="X29" s="42"/>
      <c r="Y29" s="42"/>
      <c r="Z29" s="42"/>
    </row>
    <row r="30" spans="1:26">
      <c r="A30" s="17" t="s">
        <v>272</v>
      </c>
      <c r="B30" s="40">
        <f t="shared" si="20"/>
        <v>0</v>
      </c>
      <c r="C30" s="40">
        <f t="shared" si="21"/>
        <v>5000</v>
      </c>
      <c r="D30" s="40">
        <v>0</v>
      </c>
      <c r="E30" s="40">
        <f t="shared" si="23"/>
        <v>5000</v>
      </c>
      <c r="F30" s="40">
        <f t="shared" si="22"/>
        <v>0</v>
      </c>
      <c r="G30" s="16"/>
      <c r="H30" s="277">
        <v>1</v>
      </c>
      <c r="I30" s="276">
        <v>0</v>
      </c>
      <c r="J30" s="278">
        <v>5000</v>
      </c>
      <c r="K30" s="278">
        <v>0</v>
      </c>
      <c r="L30" s="278">
        <v>0</v>
      </c>
      <c r="M30" s="17" t="s">
        <v>342</v>
      </c>
      <c r="N30" s="41"/>
      <c r="O30" s="42"/>
      <c r="P30" s="42"/>
      <c r="Q30" s="42"/>
      <c r="R30" s="42"/>
      <c r="S30" s="42"/>
      <c r="T30" s="42"/>
      <c r="U30" s="42"/>
      <c r="V30" s="42"/>
      <c r="W30" s="42"/>
      <c r="X30" s="42"/>
      <c r="Y30" s="42"/>
      <c r="Z30" s="42"/>
    </row>
    <row r="31" spans="1:26">
      <c r="A31" s="17" t="s">
        <v>323</v>
      </c>
      <c r="B31" s="40">
        <v>0</v>
      </c>
      <c r="C31" s="40">
        <v>145000</v>
      </c>
      <c r="D31" s="40">
        <v>0</v>
      </c>
      <c r="E31" s="40">
        <f t="shared" si="23"/>
        <v>145000</v>
      </c>
      <c r="F31" s="40">
        <v>0</v>
      </c>
      <c r="G31" s="16"/>
      <c r="H31" s="343" t="s">
        <v>337</v>
      </c>
      <c r="I31" s="276"/>
      <c r="J31" s="278"/>
      <c r="K31" s="278"/>
      <c r="L31" s="278"/>
      <c r="M31" s="17" t="s">
        <v>345</v>
      </c>
      <c r="N31" s="41"/>
      <c r="O31" s="42"/>
      <c r="P31" s="42"/>
      <c r="Q31" s="42"/>
      <c r="R31" s="42"/>
      <c r="S31" s="42"/>
      <c r="T31" s="42"/>
      <c r="U31" s="42"/>
      <c r="V31" s="42"/>
      <c r="W31" s="42"/>
      <c r="X31" s="42"/>
      <c r="Y31" s="42"/>
      <c r="Z31" s="42"/>
    </row>
    <row r="32" spans="1:26">
      <c r="A32" s="14" t="str">
        <f>CONCATENATE("Subtotal ",A27)</f>
        <v>Subtotal Standardization of Technical Analysis</v>
      </c>
      <c r="B32" s="207">
        <f>SUM(B28:B31)</f>
        <v>30000</v>
      </c>
      <c r="C32" s="207">
        <f t="shared" ref="C32:F32" si="24">SUM(C28:C31)</f>
        <v>175000</v>
      </c>
      <c r="D32" s="207">
        <f t="shared" si="24"/>
        <v>0</v>
      </c>
      <c r="E32" s="207">
        <f t="shared" si="24"/>
        <v>205000</v>
      </c>
      <c r="F32" s="207">
        <f t="shared" si="24"/>
        <v>500</v>
      </c>
      <c r="G32" s="208">
        <f>E32/$E$76</f>
        <v>0.1232711966325917</v>
      </c>
      <c r="H32" s="148"/>
      <c r="I32" s="148"/>
      <c r="J32" s="29"/>
      <c r="K32" s="29"/>
      <c r="L32" s="29"/>
      <c r="M32" s="17"/>
      <c r="N32" s="41"/>
      <c r="O32" s="42"/>
      <c r="P32" s="42"/>
      <c r="Q32" s="42"/>
      <c r="R32" s="42"/>
      <c r="S32" s="42"/>
      <c r="T32" s="42"/>
      <c r="U32" s="42"/>
      <c r="V32" s="42"/>
      <c r="W32" s="42"/>
      <c r="X32" s="42"/>
      <c r="Y32" s="42"/>
      <c r="Z32" s="42"/>
    </row>
    <row r="33" spans="1:26">
      <c r="B33" s="210"/>
      <c r="C33" s="210"/>
      <c r="D33" s="210"/>
      <c r="E33" s="210"/>
      <c r="F33" s="211"/>
      <c r="G33" s="212"/>
      <c r="H33" s="212"/>
      <c r="I33" s="212"/>
      <c r="M33" s="24"/>
    </row>
    <row r="34" spans="1:26">
      <c r="A34" s="20" t="s">
        <v>66</v>
      </c>
      <c r="B34" s="46"/>
      <c r="C34" s="46"/>
      <c r="D34" s="46"/>
      <c r="E34" s="46"/>
      <c r="F34" s="22"/>
      <c r="G34" s="22"/>
      <c r="H34" s="22"/>
      <c r="I34" s="22"/>
      <c r="J34" s="23"/>
      <c r="K34" s="23"/>
      <c r="L34" s="23"/>
      <c r="M34" s="21"/>
      <c r="N34" s="44"/>
      <c r="O34" s="23"/>
      <c r="P34" s="23"/>
      <c r="Q34" s="23"/>
      <c r="R34" s="23"/>
      <c r="S34" s="23"/>
      <c r="T34" s="23"/>
      <c r="U34" s="23"/>
      <c r="V34" s="23"/>
      <c r="W34" s="23"/>
      <c r="X34" s="23"/>
      <c r="Y34" s="23"/>
      <c r="Z34" s="23"/>
    </row>
    <row r="35" spans="1:26">
      <c r="A35" s="21" t="s">
        <v>182</v>
      </c>
      <c r="B35" s="46">
        <v>0</v>
      </c>
      <c r="C35" s="46">
        <v>50000</v>
      </c>
      <c r="D35" s="46">
        <v>0</v>
      </c>
      <c r="E35" s="46">
        <f>SUM(B35:D35)</f>
        <v>50000</v>
      </c>
      <c r="F35" s="46">
        <v>5000</v>
      </c>
      <c r="G35" s="22"/>
      <c r="H35" s="22"/>
      <c r="I35" s="213"/>
      <c r="J35" s="45"/>
      <c r="K35" s="45"/>
      <c r="L35" s="45"/>
      <c r="M35" s="21" t="s">
        <v>343</v>
      </c>
      <c r="N35" s="44"/>
      <c r="O35" s="23"/>
      <c r="P35" s="23"/>
      <c r="Q35" s="23"/>
      <c r="R35" s="23"/>
      <c r="S35" s="23"/>
      <c r="T35" s="23"/>
      <c r="U35" s="23"/>
      <c r="V35" s="23"/>
      <c r="W35" s="23"/>
      <c r="X35" s="23"/>
      <c r="Y35" s="23"/>
      <c r="Z35" s="23"/>
    </row>
    <row r="36" spans="1:26">
      <c r="A36" s="22" t="s">
        <v>264</v>
      </c>
      <c r="B36" s="46">
        <v>10000</v>
      </c>
      <c r="C36" s="46">
        <v>10000</v>
      </c>
      <c r="D36" s="46">
        <v>0</v>
      </c>
      <c r="E36" s="46">
        <f>SUM(B36:D36)</f>
        <v>20000</v>
      </c>
      <c r="F36" s="46">
        <v>2000</v>
      </c>
      <c r="G36" s="22"/>
      <c r="H36" s="22"/>
      <c r="I36" s="213"/>
      <c r="J36" s="23"/>
      <c r="K36" s="23"/>
      <c r="L36" s="23"/>
      <c r="M36" s="21" t="s">
        <v>336</v>
      </c>
      <c r="N36" s="44"/>
      <c r="O36" s="23"/>
      <c r="P36" s="23"/>
      <c r="Q36" s="23"/>
      <c r="R36" s="23"/>
      <c r="S36" s="23"/>
      <c r="T36" s="23"/>
      <c r="U36" s="23"/>
      <c r="V36" s="23"/>
      <c r="W36" s="23"/>
      <c r="X36" s="23"/>
      <c r="Y36" s="23"/>
      <c r="Z36" s="23"/>
    </row>
    <row r="37" spans="1:26">
      <c r="A37" s="20" t="str">
        <f>CONCATENATE("Subtotal ",A34)</f>
        <v>Subtotal Tool Development</v>
      </c>
      <c r="B37" s="214">
        <f>SUM(B35:B36)</f>
        <v>10000</v>
      </c>
      <c r="C37" s="214">
        <f>SUM(C35:C36)</f>
        <v>60000</v>
      </c>
      <c r="D37" s="214">
        <f>SUM(D35:D36)</f>
        <v>0</v>
      </c>
      <c r="E37" s="214">
        <f>SUM(E35:E36)</f>
        <v>70000</v>
      </c>
      <c r="F37" s="214">
        <f>SUM(F35:F36)</f>
        <v>7000</v>
      </c>
      <c r="G37" s="215">
        <f>E37/$E$76</f>
        <v>4.2092603728202047E-2</v>
      </c>
      <c r="H37" s="22"/>
      <c r="I37" s="22"/>
      <c r="J37" s="23"/>
      <c r="K37" s="23"/>
      <c r="L37" s="23"/>
      <c r="M37" s="21"/>
      <c r="N37" s="44"/>
      <c r="O37" s="23"/>
      <c r="P37" s="23"/>
      <c r="Q37" s="23"/>
      <c r="R37" s="23"/>
      <c r="S37" s="23"/>
      <c r="T37" s="23"/>
      <c r="U37" s="23"/>
      <c r="V37" s="23"/>
      <c r="W37" s="23"/>
      <c r="X37" s="23"/>
      <c r="Y37" s="23"/>
      <c r="Z37" s="23"/>
    </row>
    <row r="38" spans="1:26">
      <c r="A38" s="21"/>
      <c r="B38" s="46"/>
      <c r="C38" s="46"/>
      <c r="D38" s="46"/>
      <c r="E38" s="46"/>
      <c r="F38" s="22"/>
      <c r="G38" s="22"/>
      <c r="H38" s="22"/>
      <c r="I38" s="22"/>
      <c r="J38" s="23"/>
      <c r="K38" s="23"/>
      <c r="L38" s="23"/>
      <c r="M38" s="21"/>
      <c r="N38" s="44"/>
      <c r="O38" s="23"/>
      <c r="P38" s="23"/>
      <c r="Q38" s="23"/>
      <c r="R38" s="23"/>
      <c r="S38" s="23"/>
      <c r="T38" s="23"/>
      <c r="U38" s="23"/>
      <c r="V38" s="23"/>
      <c r="W38" s="23"/>
      <c r="X38" s="23"/>
      <c r="Y38" s="23"/>
      <c r="Z38" s="23"/>
    </row>
    <row r="39" spans="1:26">
      <c r="A39" s="21"/>
      <c r="B39" s="46"/>
      <c r="C39" s="46"/>
      <c r="D39" s="46"/>
      <c r="E39" s="46"/>
      <c r="F39" s="22"/>
      <c r="G39" s="22"/>
      <c r="H39" s="22"/>
      <c r="I39" s="22"/>
      <c r="J39" s="23"/>
      <c r="K39" s="23"/>
      <c r="L39" s="23"/>
      <c r="M39" s="21"/>
      <c r="N39" s="44"/>
      <c r="O39" s="23"/>
      <c r="P39" s="23"/>
      <c r="Q39" s="23"/>
      <c r="R39" s="23"/>
      <c r="S39" s="23"/>
      <c r="T39" s="23"/>
      <c r="U39" s="23"/>
      <c r="V39" s="23"/>
      <c r="W39" s="23"/>
      <c r="X39" s="23"/>
      <c r="Y39" s="23"/>
      <c r="Z39" s="23"/>
    </row>
    <row r="40" spans="1:26">
      <c r="A40" s="20" t="s">
        <v>28</v>
      </c>
      <c r="B40" s="46"/>
      <c r="C40" s="46"/>
      <c r="D40" s="46"/>
      <c r="E40" s="46"/>
      <c r="F40" s="22"/>
      <c r="G40" s="22"/>
      <c r="H40" s="22"/>
      <c r="I40" s="22"/>
      <c r="J40" s="23"/>
      <c r="K40" s="23"/>
      <c r="L40" s="23"/>
      <c r="M40" s="21"/>
      <c r="N40" s="44"/>
      <c r="O40" s="23"/>
      <c r="P40" s="23"/>
      <c r="Q40" s="23"/>
      <c r="R40" s="23"/>
      <c r="S40" s="23"/>
      <c r="T40" s="23"/>
      <c r="U40" s="23"/>
      <c r="V40" s="23"/>
      <c r="W40" s="23"/>
      <c r="X40" s="23"/>
      <c r="Y40" s="23"/>
      <c r="Z40" s="23"/>
    </row>
    <row r="41" spans="1:26">
      <c r="A41" s="334" t="s">
        <v>322</v>
      </c>
      <c r="B41" s="46">
        <v>0</v>
      </c>
      <c r="C41" s="46">
        <v>0</v>
      </c>
      <c r="D41" s="46">
        <v>0</v>
      </c>
      <c r="E41" s="46">
        <f>SUM(B41:D41)</f>
        <v>0</v>
      </c>
      <c r="F41" s="327">
        <v>0</v>
      </c>
      <c r="G41" s="22"/>
      <c r="H41" s="22"/>
      <c r="I41" s="22"/>
      <c r="J41" s="23"/>
      <c r="K41" s="23"/>
      <c r="L41" s="23"/>
      <c r="M41" s="21" t="s">
        <v>327</v>
      </c>
      <c r="N41" s="44"/>
      <c r="O41" s="23"/>
      <c r="P41" s="23"/>
      <c r="Q41" s="23"/>
      <c r="R41" s="23"/>
      <c r="S41" s="23"/>
      <c r="T41" s="23"/>
      <c r="U41" s="23"/>
      <c r="V41" s="23"/>
      <c r="W41" s="23"/>
      <c r="X41" s="23"/>
      <c r="Y41" s="23"/>
      <c r="Z41" s="23"/>
    </row>
    <row r="42" spans="1:26">
      <c r="A42" s="20" t="str">
        <f>CONCATENATE("Subtotal ",A40)</f>
        <v>Subtotal Research Projects &amp; Data Development</v>
      </c>
      <c r="B42" s="214">
        <f>SUM(B41:B41)</f>
        <v>0</v>
      </c>
      <c r="C42" s="214">
        <f>SUM(C41:C41)</f>
        <v>0</v>
      </c>
      <c r="D42" s="214">
        <f>SUM(D41:D41)</f>
        <v>0</v>
      </c>
      <c r="E42" s="214">
        <f>SUM(E41:E41)</f>
        <v>0</v>
      </c>
      <c r="F42" s="214">
        <f>SUM(F41:F41)</f>
        <v>0</v>
      </c>
      <c r="G42" s="215">
        <f>E42/$E$76</f>
        <v>0</v>
      </c>
      <c r="H42" s="22"/>
      <c r="I42" s="22"/>
      <c r="J42" s="23"/>
      <c r="K42" s="23"/>
      <c r="L42" s="23"/>
      <c r="M42" s="21"/>
      <c r="N42" s="44"/>
      <c r="O42" s="23"/>
      <c r="P42" s="23"/>
      <c r="Q42" s="23"/>
      <c r="R42" s="23"/>
      <c r="S42" s="23"/>
      <c r="T42" s="23"/>
      <c r="U42" s="23"/>
      <c r="V42" s="23"/>
      <c r="W42" s="23"/>
      <c r="X42" s="23"/>
      <c r="Y42" s="23"/>
      <c r="Z42" s="23"/>
    </row>
    <row r="43" spans="1:26">
      <c r="A43" s="23"/>
      <c r="B43" s="46"/>
      <c r="C43" s="46"/>
      <c r="D43" s="46"/>
      <c r="E43" s="46"/>
      <c r="F43" s="22"/>
      <c r="G43" s="22"/>
      <c r="H43" s="22"/>
      <c r="I43" s="22"/>
      <c r="J43" s="23"/>
      <c r="K43" s="23"/>
      <c r="L43" s="23"/>
      <c r="M43" s="21"/>
      <c r="N43" s="44"/>
      <c r="O43" s="23"/>
      <c r="P43" s="23"/>
      <c r="Q43" s="23"/>
      <c r="R43" s="23"/>
      <c r="S43" s="23"/>
      <c r="T43" s="23"/>
      <c r="U43" s="23"/>
      <c r="V43" s="23"/>
      <c r="W43" s="23"/>
      <c r="X43" s="23"/>
      <c r="Y43" s="23"/>
      <c r="Z43" s="23"/>
    </row>
    <row r="44" spans="1:26">
      <c r="A44" s="21"/>
      <c r="B44" s="46"/>
      <c r="C44" s="46"/>
      <c r="D44" s="46"/>
      <c r="E44" s="46"/>
      <c r="F44" s="22"/>
      <c r="G44" s="22"/>
      <c r="H44" s="22"/>
      <c r="I44" s="22"/>
      <c r="J44" s="23"/>
      <c r="K44" s="23"/>
      <c r="L44" s="23"/>
      <c r="M44" s="21"/>
      <c r="N44" s="44"/>
      <c r="O44" s="23"/>
      <c r="P44" s="23"/>
      <c r="Q44" s="23"/>
      <c r="R44" s="23"/>
      <c r="S44" s="23"/>
      <c r="T44" s="23"/>
      <c r="U44" s="23"/>
      <c r="V44" s="23"/>
      <c r="W44" s="23"/>
      <c r="X44" s="23"/>
      <c r="Y44" s="23"/>
      <c r="Z44" s="23"/>
    </row>
    <row r="45" spans="1:26">
      <c r="A45" s="20" t="s">
        <v>321</v>
      </c>
      <c r="B45" s="46"/>
      <c r="C45" s="46"/>
      <c r="D45" s="46"/>
      <c r="E45" s="46"/>
      <c r="F45" s="22"/>
      <c r="G45" s="22"/>
      <c r="H45" s="22"/>
      <c r="I45" s="22"/>
      <c r="J45" s="23"/>
      <c r="K45" s="23"/>
      <c r="L45" s="23"/>
      <c r="M45" s="21"/>
      <c r="N45" s="44"/>
      <c r="O45" s="23"/>
      <c r="P45" s="23"/>
      <c r="Q45" s="23"/>
      <c r="R45" s="23"/>
      <c r="S45" s="23"/>
      <c r="T45" s="23"/>
      <c r="U45" s="23"/>
      <c r="V45" s="23"/>
      <c r="W45" s="23"/>
      <c r="X45" s="23"/>
      <c r="Y45" s="23"/>
      <c r="Z45" s="23"/>
    </row>
    <row r="46" spans="1:26">
      <c r="A46" s="21" t="s">
        <v>237</v>
      </c>
      <c r="B46" s="46">
        <v>0</v>
      </c>
      <c r="C46" s="46">
        <v>75000</v>
      </c>
      <c r="D46" s="46">
        <v>0</v>
      </c>
      <c r="E46" s="46">
        <f>SUM(B46:D46)</f>
        <v>75000</v>
      </c>
      <c r="F46" s="327">
        <v>2000</v>
      </c>
      <c r="G46" s="22"/>
      <c r="H46" s="22"/>
      <c r="I46" s="22"/>
      <c r="J46" s="23"/>
      <c r="K46" s="23"/>
      <c r="L46" s="23"/>
      <c r="M46" s="21" t="s">
        <v>356</v>
      </c>
      <c r="N46" s="44"/>
      <c r="O46" s="23"/>
      <c r="P46" s="23"/>
      <c r="Q46" s="23"/>
      <c r="R46" s="23"/>
      <c r="S46" s="23"/>
      <c r="T46" s="23"/>
      <c r="U46" s="23"/>
      <c r="V46" s="23"/>
      <c r="W46" s="23"/>
      <c r="X46" s="23"/>
      <c r="Y46" s="23"/>
      <c r="Z46" s="23"/>
    </row>
    <row r="47" spans="1:26">
      <c r="A47" s="21" t="s">
        <v>153</v>
      </c>
      <c r="B47" s="46">
        <v>15000</v>
      </c>
      <c r="C47" s="46">
        <v>10000</v>
      </c>
      <c r="D47" s="46">
        <v>0</v>
      </c>
      <c r="E47" s="46">
        <f t="shared" ref="E47:E49" si="25">SUM(B47:D47)</f>
        <v>25000</v>
      </c>
      <c r="F47" s="327">
        <v>5000</v>
      </c>
      <c r="G47" s="22"/>
      <c r="H47" s="22"/>
      <c r="I47" s="22"/>
      <c r="J47" s="23"/>
      <c r="K47" s="23"/>
      <c r="L47" s="23"/>
      <c r="M47" s="21" t="s">
        <v>355</v>
      </c>
      <c r="N47" s="44"/>
      <c r="O47" s="23"/>
      <c r="P47" s="23"/>
      <c r="Q47" s="23"/>
      <c r="R47" s="23"/>
      <c r="S47" s="23"/>
      <c r="T47" s="23"/>
      <c r="U47" s="23"/>
      <c r="V47" s="23"/>
      <c r="W47" s="23"/>
      <c r="X47" s="23"/>
      <c r="Y47" s="23"/>
      <c r="Z47" s="23"/>
    </row>
    <row r="48" spans="1:26">
      <c r="A48" s="21" t="s">
        <v>335</v>
      </c>
      <c r="B48" s="46">
        <v>0</v>
      </c>
      <c r="C48" s="46">
        <v>30000</v>
      </c>
      <c r="D48" s="46">
        <v>0</v>
      </c>
      <c r="E48" s="46">
        <f t="shared" si="25"/>
        <v>30000</v>
      </c>
      <c r="F48" s="327">
        <v>2000</v>
      </c>
      <c r="G48" s="22"/>
      <c r="H48" s="22"/>
      <c r="I48" s="22"/>
      <c r="J48" s="23"/>
      <c r="K48" s="23"/>
      <c r="L48" s="23"/>
      <c r="M48" s="21" t="s">
        <v>346</v>
      </c>
      <c r="N48" s="44"/>
      <c r="O48" s="23"/>
      <c r="P48" s="23"/>
      <c r="Q48" s="23"/>
      <c r="R48" s="23"/>
      <c r="S48" s="23"/>
      <c r="T48" s="23"/>
      <c r="U48" s="23"/>
      <c r="V48" s="23"/>
      <c r="W48" s="23"/>
      <c r="X48" s="23"/>
      <c r="Y48" s="23"/>
      <c r="Z48" s="23"/>
    </row>
    <row r="49" spans="1:26">
      <c r="A49" s="21" t="s">
        <v>320</v>
      </c>
      <c r="B49" s="46">
        <v>0</v>
      </c>
      <c r="C49" s="46">
        <v>20000</v>
      </c>
      <c r="D49" s="46">
        <v>0</v>
      </c>
      <c r="E49" s="46">
        <f t="shared" si="25"/>
        <v>20000</v>
      </c>
      <c r="F49" s="327">
        <v>0</v>
      </c>
      <c r="G49" s="22"/>
      <c r="H49" s="22"/>
      <c r="I49" s="22"/>
      <c r="J49" s="23"/>
      <c r="K49" s="23"/>
      <c r="L49" s="23"/>
      <c r="M49" s="21" t="s">
        <v>334</v>
      </c>
      <c r="N49" s="44"/>
      <c r="O49" s="23"/>
      <c r="P49" s="23"/>
      <c r="Q49" s="23"/>
      <c r="R49" s="23"/>
      <c r="S49" s="23"/>
      <c r="T49" s="23"/>
      <c r="U49" s="23"/>
      <c r="V49" s="23"/>
      <c r="W49" s="23"/>
      <c r="X49" s="23"/>
      <c r="Y49" s="23"/>
      <c r="Z49" s="23"/>
    </row>
    <row r="50" spans="1:26">
      <c r="A50" s="20" t="str">
        <f>CONCATENATE("Subtotal ",A45)</f>
        <v>Subtotal Regional Coordination (Research and Data Development)</v>
      </c>
      <c r="B50" s="214">
        <f>SUM(B46:B49)</f>
        <v>15000</v>
      </c>
      <c r="C50" s="214">
        <f>SUM(C46:C49)</f>
        <v>135000</v>
      </c>
      <c r="D50" s="214">
        <f>SUM(D46:D49)</f>
        <v>0</v>
      </c>
      <c r="E50" s="214">
        <f>SUM(E46:E49)</f>
        <v>150000</v>
      </c>
      <c r="F50" s="214">
        <f>SUM(F46:F49)</f>
        <v>9000</v>
      </c>
      <c r="G50" s="215">
        <f>E50/$E$76</f>
        <v>9.0198436560432957E-2</v>
      </c>
      <c r="H50" s="22"/>
      <c r="I50" s="22"/>
      <c r="J50" s="23"/>
      <c r="K50" s="23"/>
      <c r="L50" s="23"/>
      <c r="M50" s="21"/>
      <c r="N50" s="44"/>
      <c r="O50" s="23"/>
      <c r="P50" s="23"/>
      <c r="Q50" s="23"/>
      <c r="R50" s="23"/>
      <c r="S50" s="23"/>
      <c r="T50" s="23"/>
      <c r="U50" s="23"/>
      <c r="V50" s="23"/>
      <c r="W50" s="23"/>
      <c r="X50" s="23"/>
      <c r="Y50" s="23"/>
      <c r="Z50" s="23"/>
    </row>
    <row r="51" spans="1:26">
      <c r="A51" s="23"/>
      <c r="B51" s="46"/>
      <c r="C51" s="46"/>
      <c r="D51" s="46"/>
      <c r="E51" s="46"/>
      <c r="F51" s="22"/>
      <c r="G51" s="22"/>
      <c r="H51" s="22"/>
      <c r="I51" s="22"/>
      <c r="J51" s="23"/>
      <c r="K51" s="23"/>
      <c r="L51" s="23"/>
      <c r="M51" s="21"/>
      <c r="N51" s="44"/>
      <c r="O51" s="23"/>
      <c r="P51" s="23"/>
      <c r="Q51" s="23"/>
      <c r="R51" s="23"/>
      <c r="S51" s="23"/>
      <c r="T51" s="23"/>
      <c r="U51" s="23"/>
      <c r="V51" s="23"/>
      <c r="W51" s="23"/>
      <c r="X51" s="23"/>
      <c r="Y51" s="23"/>
      <c r="Z51" s="23"/>
    </row>
    <row r="52" spans="1:26">
      <c r="A52" s="24"/>
      <c r="B52" s="210"/>
      <c r="C52" s="210"/>
      <c r="D52" s="210"/>
      <c r="E52" s="210"/>
      <c r="F52" s="212"/>
      <c r="G52" s="212"/>
      <c r="H52" s="212"/>
      <c r="I52" s="212"/>
      <c r="M52" s="24"/>
    </row>
    <row r="53" spans="1:26">
      <c r="A53" s="25" t="s">
        <v>48</v>
      </c>
      <c r="B53" s="216"/>
      <c r="C53" s="216"/>
      <c r="D53" s="216"/>
      <c r="E53" s="216"/>
      <c r="F53" s="217"/>
      <c r="G53" s="217"/>
      <c r="H53" s="217"/>
      <c r="I53" s="217"/>
      <c r="J53" s="27"/>
      <c r="K53" s="27"/>
      <c r="L53" s="27"/>
      <c r="M53" s="26"/>
      <c r="N53" s="47"/>
      <c r="O53" s="27"/>
      <c r="P53" s="27"/>
      <c r="Q53" s="27"/>
      <c r="R53" s="27"/>
      <c r="S53" s="27"/>
      <c r="T53" s="27"/>
      <c r="U53" s="27"/>
      <c r="V53" s="27"/>
      <c r="W53" s="27"/>
      <c r="X53" s="27"/>
      <c r="Y53" s="27"/>
      <c r="Z53" s="27"/>
    </row>
    <row r="54" spans="1:26">
      <c r="A54" s="26" t="s">
        <v>185</v>
      </c>
      <c r="B54" s="216">
        <v>0</v>
      </c>
      <c r="C54" s="216">
        <v>10000</v>
      </c>
      <c r="D54" s="216">
        <v>0</v>
      </c>
      <c r="E54" s="216">
        <f>SUM(B54:D54)</f>
        <v>10000</v>
      </c>
      <c r="F54" s="216">
        <v>10000</v>
      </c>
      <c r="G54" s="217"/>
      <c r="H54" s="217"/>
      <c r="I54" s="217"/>
      <c r="J54" s="27"/>
      <c r="K54" s="27"/>
      <c r="L54" s="27"/>
      <c r="M54" s="26" t="s">
        <v>332</v>
      </c>
      <c r="N54" s="47"/>
      <c r="O54" s="27"/>
      <c r="P54" s="27"/>
      <c r="Q54" s="27"/>
      <c r="R54" s="27"/>
      <c r="S54" s="27"/>
      <c r="T54" s="27"/>
      <c r="U54" s="27"/>
      <c r="V54" s="27"/>
      <c r="W54" s="27"/>
      <c r="X54" s="27"/>
      <c r="Y54" s="27"/>
      <c r="Z54" s="27"/>
    </row>
    <row r="55" spans="1:26">
      <c r="A55" s="26" t="s">
        <v>319</v>
      </c>
      <c r="B55" s="216">
        <v>60000</v>
      </c>
      <c r="C55" s="216">
        <v>10000</v>
      </c>
      <c r="D55" s="216">
        <v>0</v>
      </c>
      <c r="E55" s="216">
        <f>SUM(B55:D55)</f>
        <v>70000</v>
      </c>
      <c r="F55" s="216">
        <v>8000</v>
      </c>
      <c r="G55" s="217" t="s">
        <v>165</v>
      </c>
      <c r="H55" s="217"/>
      <c r="I55" s="217"/>
      <c r="J55" s="27"/>
      <c r="K55" s="27"/>
      <c r="L55" s="27"/>
      <c r="M55" s="26" t="s">
        <v>333</v>
      </c>
      <c r="N55" s="47"/>
      <c r="O55" s="27"/>
      <c r="P55" s="27"/>
      <c r="Q55" s="27"/>
      <c r="R55" s="27"/>
      <c r="S55" s="27"/>
      <c r="T55" s="27"/>
      <c r="U55" s="27"/>
      <c r="V55" s="27"/>
      <c r="W55" s="27"/>
      <c r="X55" s="27"/>
      <c r="Y55" s="27"/>
      <c r="Z55" s="27"/>
    </row>
    <row r="56" spans="1:26">
      <c r="A56" s="25" t="str">
        <f>CONCATENATE("Subtotal ",A53)</f>
        <v xml:space="preserve">Subtotal Website, Database support, Conservation Tracking </v>
      </c>
      <c r="B56" s="218">
        <f>SUM(B54:B55)</f>
        <v>60000</v>
      </c>
      <c r="C56" s="218">
        <f>SUM(C54:C55)</f>
        <v>20000</v>
      </c>
      <c r="D56" s="218">
        <f>SUM(D54:D55)</f>
        <v>0</v>
      </c>
      <c r="E56" s="218">
        <f>SUM(E54:E55)</f>
        <v>80000</v>
      </c>
      <c r="F56" s="218">
        <f>SUM(F54:F55)</f>
        <v>18000</v>
      </c>
      <c r="G56" s="219">
        <f>E56/$E$76</f>
        <v>4.810583283223091E-2</v>
      </c>
      <c r="H56" s="217"/>
      <c r="I56" s="217"/>
      <c r="J56" s="27"/>
      <c r="K56" s="27"/>
      <c r="L56" s="27"/>
      <c r="M56" s="26"/>
      <c r="N56" s="47"/>
      <c r="O56" s="27"/>
      <c r="P56" s="27"/>
      <c r="Q56" s="27"/>
      <c r="R56" s="27"/>
      <c r="S56" s="27"/>
      <c r="T56" s="27"/>
      <c r="U56" s="27"/>
      <c r="V56" s="27"/>
      <c r="W56" s="27"/>
      <c r="X56" s="27"/>
      <c r="Y56" s="27"/>
      <c r="Z56" s="27"/>
    </row>
    <row r="57" spans="1:26">
      <c r="A57" s="25"/>
      <c r="B57" s="216"/>
      <c r="C57" s="216"/>
      <c r="D57" s="216"/>
      <c r="E57" s="216"/>
      <c r="F57" s="216"/>
      <c r="G57" s="217"/>
      <c r="H57" s="217"/>
      <c r="I57" s="217"/>
      <c r="J57" s="27"/>
      <c r="K57" s="27"/>
      <c r="L57" s="27"/>
      <c r="M57" s="26"/>
      <c r="N57" s="47"/>
      <c r="O57" s="27"/>
      <c r="P57" s="27"/>
      <c r="Q57" s="27"/>
      <c r="R57" s="27"/>
      <c r="S57" s="27"/>
      <c r="T57" s="27"/>
      <c r="U57" s="27"/>
      <c r="V57" s="27"/>
      <c r="W57" s="27"/>
      <c r="X57" s="27"/>
      <c r="Y57" s="27"/>
      <c r="Z57" s="27"/>
    </row>
    <row r="58" spans="1:26">
      <c r="A58" s="26"/>
      <c r="B58" s="216"/>
      <c r="C58" s="216"/>
      <c r="D58" s="216"/>
      <c r="E58" s="216"/>
      <c r="F58" s="216"/>
      <c r="G58" s="217"/>
      <c r="H58" s="217"/>
      <c r="I58" s="217"/>
      <c r="J58" s="27"/>
      <c r="K58" s="27"/>
      <c r="L58" s="27"/>
      <c r="M58" s="26"/>
      <c r="N58" s="47"/>
      <c r="O58" s="27"/>
      <c r="P58" s="27"/>
      <c r="Q58" s="27"/>
      <c r="R58" s="27"/>
      <c r="S58" s="27"/>
      <c r="T58" s="27"/>
      <c r="U58" s="27"/>
      <c r="V58" s="27"/>
      <c r="W58" s="27"/>
      <c r="X58" s="27"/>
      <c r="Y58" s="27"/>
      <c r="Z58" s="27"/>
    </row>
    <row r="59" spans="1:26">
      <c r="A59" s="25" t="s">
        <v>351</v>
      </c>
      <c r="B59" s="216"/>
      <c r="C59" s="216"/>
      <c r="D59" s="216"/>
      <c r="E59" s="216"/>
      <c r="F59" s="216"/>
      <c r="G59" s="217"/>
      <c r="H59" s="217"/>
      <c r="I59" s="217"/>
      <c r="J59" s="27"/>
      <c r="K59" s="27"/>
      <c r="L59" s="27"/>
      <c r="M59" s="26"/>
      <c r="N59" s="47"/>
      <c r="O59" s="27"/>
      <c r="P59" s="27"/>
      <c r="Q59" s="27"/>
      <c r="R59" s="27"/>
      <c r="S59" s="27"/>
      <c r="T59" s="27"/>
      <c r="U59" s="27"/>
      <c r="V59" s="27"/>
      <c r="W59" s="27"/>
      <c r="X59" s="27"/>
      <c r="Y59" s="27"/>
      <c r="Z59" s="27"/>
    </row>
    <row r="60" spans="1:26">
      <c r="A60" s="26" t="s">
        <v>163</v>
      </c>
      <c r="B60" s="216">
        <f>26000+7000+7000</f>
        <v>40000</v>
      </c>
      <c r="C60" s="216">
        <v>0</v>
      </c>
      <c r="D60" s="216">
        <v>0</v>
      </c>
      <c r="E60" s="216">
        <f>SUM(B60:D60)</f>
        <v>40000</v>
      </c>
      <c r="F60" s="216">
        <v>25000</v>
      </c>
      <c r="G60" s="220"/>
      <c r="H60" s="220"/>
      <c r="I60" s="217"/>
      <c r="J60" s="27"/>
      <c r="K60" s="27"/>
      <c r="L60" s="27"/>
      <c r="M60" s="329" t="s">
        <v>271</v>
      </c>
      <c r="N60" s="47"/>
      <c r="O60" s="27"/>
      <c r="P60" s="27"/>
      <c r="Q60" s="27"/>
      <c r="R60" s="27"/>
      <c r="S60" s="27"/>
      <c r="T60" s="27"/>
      <c r="U60" s="27"/>
      <c r="V60" s="27"/>
      <c r="W60" s="27"/>
      <c r="X60" s="27"/>
      <c r="Y60" s="27"/>
      <c r="Z60" s="27"/>
    </row>
    <row r="61" spans="1:26">
      <c r="A61" s="26" t="s">
        <v>324</v>
      </c>
      <c r="B61" s="216">
        <v>129200</v>
      </c>
      <c r="C61" s="216">
        <v>0</v>
      </c>
      <c r="D61" s="216">
        <v>0</v>
      </c>
      <c r="E61" s="216">
        <f>SUM(B61:D61)</f>
        <v>129200</v>
      </c>
      <c r="F61" s="216">
        <v>0</v>
      </c>
      <c r="G61" s="217"/>
      <c r="H61" s="217"/>
      <c r="I61" s="217"/>
      <c r="J61" s="27"/>
      <c r="K61" s="27"/>
      <c r="L61" s="27"/>
      <c r="M61" s="26" t="s">
        <v>352</v>
      </c>
      <c r="N61" s="47"/>
      <c r="O61" s="27"/>
      <c r="P61" s="27"/>
      <c r="Q61" s="27"/>
      <c r="R61" s="27"/>
      <c r="S61" s="27"/>
      <c r="T61" s="27"/>
      <c r="U61" s="27"/>
      <c r="V61" s="27"/>
      <c r="W61" s="27"/>
      <c r="X61" s="27"/>
      <c r="Y61" s="27"/>
      <c r="Z61" s="27"/>
    </row>
    <row r="62" spans="1:26">
      <c r="A62" s="26" t="s">
        <v>325</v>
      </c>
      <c r="B62" s="216">
        <v>0</v>
      </c>
      <c r="C62" s="216">
        <v>65000</v>
      </c>
      <c r="D62" s="216">
        <v>0</v>
      </c>
      <c r="E62" s="216">
        <f>SUM(B62:D62)</f>
        <v>65000</v>
      </c>
      <c r="F62" s="216">
        <v>0</v>
      </c>
      <c r="G62" s="217"/>
      <c r="H62" s="217"/>
      <c r="I62" s="217"/>
      <c r="J62" s="27"/>
      <c r="K62" s="27"/>
      <c r="L62" s="27"/>
      <c r="M62" s="26" t="s">
        <v>326</v>
      </c>
      <c r="N62" s="47"/>
      <c r="O62" s="27"/>
      <c r="P62" s="27"/>
      <c r="Q62" s="27"/>
      <c r="R62" s="27"/>
      <c r="S62" s="27"/>
      <c r="T62" s="27"/>
      <c r="U62" s="27"/>
      <c r="V62" s="27"/>
      <c r="W62" s="27"/>
      <c r="X62" s="27"/>
      <c r="Y62" s="27"/>
      <c r="Z62" s="27"/>
    </row>
    <row r="63" spans="1:26">
      <c r="A63" s="25" t="str">
        <f>CONCATENATE("Subtotal ",A59)</f>
        <v>Subtotal RTF Meetings and Member Support</v>
      </c>
      <c r="B63" s="218">
        <f>SUM(B60:B62)</f>
        <v>169200</v>
      </c>
      <c r="C63" s="218">
        <f>SUM(C60:C62)</f>
        <v>65000</v>
      </c>
      <c r="D63" s="218">
        <f>SUM(D60:D62)</f>
        <v>0</v>
      </c>
      <c r="E63" s="218">
        <f>SUM(E60:E62)</f>
        <v>234200</v>
      </c>
      <c r="F63" s="218">
        <f>SUM(F60:F62)</f>
        <v>25000</v>
      </c>
      <c r="G63" s="219">
        <f>E63/$E$76</f>
        <v>0.14082982561635599</v>
      </c>
      <c r="H63" s="217"/>
      <c r="I63" s="217"/>
      <c r="J63" s="27"/>
      <c r="K63" s="27"/>
      <c r="L63" s="27"/>
      <c r="M63" s="27"/>
      <c r="N63" s="47"/>
      <c r="O63" s="27"/>
      <c r="P63" s="27"/>
      <c r="Q63" s="27"/>
      <c r="R63" s="27"/>
      <c r="S63" s="27"/>
      <c r="T63" s="27"/>
      <c r="U63" s="27"/>
      <c r="V63" s="27"/>
      <c r="W63" s="27"/>
      <c r="X63" s="27"/>
      <c r="Y63" s="27"/>
      <c r="Z63" s="27"/>
    </row>
    <row r="64" spans="1:26">
      <c r="A64" s="27"/>
      <c r="B64" s="216"/>
      <c r="C64" s="216"/>
      <c r="D64" s="216"/>
      <c r="E64" s="216"/>
      <c r="F64" s="216"/>
      <c r="G64" s="217"/>
      <c r="H64" s="217"/>
      <c r="I64" s="217"/>
      <c r="J64" s="27"/>
      <c r="K64" s="27"/>
      <c r="L64" s="27"/>
      <c r="M64" s="27"/>
      <c r="N64" s="47"/>
      <c r="O64" s="27"/>
      <c r="P64" s="27"/>
      <c r="Q64" s="27"/>
      <c r="R64" s="27"/>
      <c r="S64" s="27"/>
      <c r="T64" s="27"/>
      <c r="U64" s="27"/>
      <c r="V64" s="27"/>
      <c r="W64" s="27"/>
      <c r="X64" s="27"/>
      <c r="Y64" s="27"/>
      <c r="Z64" s="27"/>
    </row>
    <row r="65" spans="1:26">
      <c r="A65" s="27"/>
      <c r="B65" s="216"/>
      <c r="C65" s="216"/>
      <c r="D65" s="216"/>
      <c r="E65" s="216"/>
      <c r="F65" s="216"/>
      <c r="G65" s="217"/>
      <c r="H65" s="217"/>
      <c r="I65" s="217"/>
      <c r="J65" s="27"/>
      <c r="K65" s="27"/>
      <c r="L65" s="27"/>
      <c r="M65" s="27"/>
      <c r="N65" s="47"/>
      <c r="O65" s="27"/>
      <c r="P65" s="27"/>
      <c r="Q65" s="27"/>
      <c r="R65" s="27"/>
      <c r="S65" s="27"/>
      <c r="T65" s="27"/>
      <c r="U65" s="27"/>
      <c r="V65" s="27"/>
      <c r="W65" s="27"/>
      <c r="X65" s="27"/>
      <c r="Y65" s="27"/>
      <c r="Z65" s="27"/>
    </row>
    <row r="66" spans="1:26">
      <c r="A66" s="25" t="s">
        <v>51</v>
      </c>
      <c r="B66" s="216"/>
      <c r="C66" s="216"/>
      <c r="D66" s="216"/>
      <c r="E66" s="216"/>
      <c r="F66" s="216"/>
      <c r="G66" s="217"/>
      <c r="H66" s="412"/>
      <c r="I66" s="412"/>
      <c r="J66" s="412"/>
      <c r="K66" s="412"/>
      <c r="L66" s="412"/>
      <c r="M66" s="27"/>
      <c r="N66" s="47"/>
      <c r="O66" s="27"/>
      <c r="P66" s="27"/>
      <c r="Q66" s="27"/>
      <c r="R66" s="27"/>
      <c r="S66" s="27"/>
      <c r="T66" s="27"/>
      <c r="U66" s="27"/>
      <c r="V66" s="27"/>
      <c r="W66" s="27"/>
      <c r="X66" s="27"/>
      <c r="Y66" s="27"/>
      <c r="Z66" s="27"/>
    </row>
    <row r="67" spans="1:26">
      <c r="A67" s="26" t="s">
        <v>135</v>
      </c>
      <c r="B67" s="216">
        <v>0</v>
      </c>
      <c r="C67" s="216">
        <v>0</v>
      </c>
      <c r="D67" s="216">
        <f>130000*K67</f>
        <v>19500</v>
      </c>
      <c r="E67" s="216">
        <f>SUM(B67:D67)</f>
        <v>19500</v>
      </c>
      <c r="F67" s="216">
        <v>2000</v>
      </c>
      <c r="G67" s="217"/>
      <c r="H67" s="217"/>
      <c r="I67" s="27"/>
      <c r="J67" s="27"/>
      <c r="K67" s="284">
        <v>0.15</v>
      </c>
      <c r="L67" s="27"/>
      <c r="M67" s="329" t="s">
        <v>330</v>
      </c>
      <c r="N67" s="47"/>
      <c r="O67" s="27"/>
      <c r="P67" s="27"/>
      <c r="Q67" s="27"/>
      <c r="R67" s="27"/>
      <c r="S67" s="27"/>
      <c r="T67" s="27"/>
      <c r="U67" s="27"/>
      <c r="V67" s="27"/>
      <c r="W67" s="27"/>
      <c r="X67" s="27"/>
      <c r="Y67" s="27"/>
      <c r="Z67" s="27"/>
    </row>
    <row r="68" spans="1:26">
      <c r="A68" s="26" t="s">
        <v>318</v>
      </c>
      <c r="B68" s="216">
        <v>0</v>
      </c>
      <c r="C68" s="216">
        <v>0</v>
      </c>
      <c r="D68" s="216">
        <f t="shared" ref="D68:D71" si="26">130000*K68</f>
        <v>39000</v>
      </c>
      <c r="E68" s="216">
        <f>SUM(B68:D68)</f>
        <v>39000</v>
      </c>
      <c r="F68" s="216">
        <v>0</v>
      </c>
      <c r="G68" s="221"/>
      <c r="H68" s="220"/>
      <c r="I68" s="27"/>
      <c r="J68" s="27"/>
      <c r="K68" s="284">
        <v>0.3</v>
      </c>
      <c r="L68" s="27"/>
      <c r="M68" s="329" t="s">
        <v>329</v>
      </c>
      <c r="N68" s="47"/>
      <c r="O68" s="27"/>
      <c r="P68" s="27"/>
      <c r="Q68" s="27"/>
      <c r="R68" s="27"/>
      <c r="S68" s="27"/>
      <c r="T68" s="27"/>
      <c r="U68" s="27"/>
      <c r="V68" s="27"/>
      <c r="W68" s="27"/>
      <c r="X68" s="27"/>
      <c r="Y68" s="27"/>
      <c r="Z68" s="27"/>
    </row>
    <row r="69" spans="1:26">
      <c r="A69" s="26" t="s">
        <v>154</v>
      </c>
      <c r="B69" s="216">
        <v>3300</v>
      </c>
      <c r="C69" s="216">
        <v>0</v>
      </c>
      <c r="D69" s="216">
        <f t="shared" si="26"/>
        <v>26000</v>
      </c>
      <c r="E69" s="216">
        <f t="shared" ref="E69:E72" si="27">SUM(B69:D69)</f>
        <v>29300</v>
      </c>
      <c r="F69" s="216">
        <v>75000</v>
      </c>
      <c r="G69" s="221"/>
      <c r="H69" s="221"/>
      <c r="I69" s="27"/>
      <c r="J69" s="184"/>
      <c r="K69" s="284">
        <v>0.2</v>
      </c>
      <c r="L69" s="27"/>
      <c r="M69" s="329" t="s">
        <v>276</v>
      </c>
      <c r="N69" s="47"/>
      <c r="O69" s="27"/>
      <c r="P69" s="27"/>
      <c r="Q69" s="27"/>
      <c r="R69" s="27"/>
      <c r="S69" s="27"/>
      <c r="T69" s="27"/>
      <c r="U69" s="27"/>
      <c r="V69" s="27"/>
      <c r="W69" s="27"/>
      <c r="X69" s="27"/>
      <c r="Y69" s="27"/>
      <c r="Z69" s="27"/>
    </row>
    <row r="70" spans="1:26">
      <c r="A70" s="26" t="s">
        <v>162</v>
      </c>
      <c r="B70" s="216">
        <v>0</v>
      </c>
      <c r="C70" s="216">
        <v>0</v>
      </c>
      <c r="D70" s="216">
        <f t="shared" si="26"/>
        <v>39000</v>
      </c>
      <c r="E70" s="216">
        <f t="shared" si="27"/>
        <v>39000</v>
      </c>
      <c r="F70" s="216">
        <v>0</v>
      </c>
      <c r="G70" s="217"/>
      <c r="H70" s="217"/>
      <c r="I70" s="27"/>
      <c r="J70" s="27"/>
      <c r="K70" s="284">
        <v>0.3</v>
      </c>
      <c r="L70" s="27"/>
      <c r="M70" s="27" t="s">
        <v>184</v>
      </c>
      <c r="N70" s="47"/>
      <c r="O70" s="27"/>
      <c r="P70" s="27"/>
      <c r="Q70" s="27"/>
      <c r="R70" s="27"/>
      <c r="S70" s="27"/>
      <c r="T70" s="27"/>
      <c r="U70" s="27"/>
      <c r="V70" s="27"/>
      <c r="W70" s="27"/>
      <c r="X70" s="27"/>
      <c r="Y70" s="27"/>
      <c r="Z70" s="27"/>
    </row>
    <row r="71" spans="1:26">
      <c r="A71" s="26" t="s">
        <v>106</v>
      </c>
      <c r="B71" s="216">
        <v>5000</v>
      </c>
      <c r="C71" s="216">
        <v>0</v>
      </c>
      <c r="D71" s="216">
        <f t="shared" si="26"/>
        <v>6500</v>
      </c>
      <c r="E71" s="216">
        <f t="shared" si="27"/>
        <v>11500</v>
      </c>
      <c r="F71" s="216">
        <v>500</v>
      </c>
      <c r="G71" s="221"/>
      <c r="H71" s="220"/>
      <c r="I71" s="27"/>
      <c r="J71" s="27"/>
      <c r="K71" s="284">
        <v>0.05</v>
      </c>
      <c r="L71" s="27"/>
      <c r="M71" s="329" t="s">
        <v>331</v>
      </c>
      <c r="N71" s="47"/>
      <c r="O71" s="27"/>
      <c r="P71" s="27"/>
      <c r="Q71" s="27"/>
      <c r="R71" s="27"/>
      <c r="S71" s="27"/>
      <c r="T71" s="27"/>
      <c r="U71" s="27"/>
      <c r="V71" s="27"/>
      <c r="W71" s="27"/>
      <c r="X71" s="27"/>
      <c r="Y71" s="27"/>
      <c r="Z71" s="27"/>
    </row>
    <row r="72" spans="1:26">
      <c r="A72" s="26" t="s">
        <v>260</v>
      </c>
      <c r="B72" s="216">
        <v>0</v>
      </c>
      <c r="C72" s="216">
        <v>0</v>
      </c>
      <c r="D72" s="216">
        <v>5000</v>
      </c>
      <c r="E72" s="216">
        <f t="shared" si="27"/>
        <v>5000</v>
      </c>
      <c r="F72" s="216">
        <v>0</v>
      </c>
      <c r="G72" s="221"/>
      <c r="H72" s="220"/>
      <c r="I72" s="27"/>
      <c r="J72" s="27"/>
      <c r="K72" s="284"/>
      <c r="L72" s="27"/>
      <c r="M72" s="27"/>
      <c r="N72" s="47"/>
      <c r="O72" s="27"/>
      <c r="P72" s="27"/>
      <c r="Q72" s="27"/>
      <c r="R72" s="27"/>
      <c r="S72" s="27"/>
      <c r="T72" s="27"/>
      <c r="U72" s="27"/>
      <c r="V72" s="27"/>
      <c r="W72" s="27"/>
      <c r="X72" s="27"/>
      <c r="Y72" s="27"/>
      <c r="Z72" s="27"/>
    </row>
    <row r="73" spans="1:26">
      <c r="A73" s="25" t="str">
        <f>CONCATENATE("Subtotal ",A66)</f>
        <v>Subtotal RTF Management</v>
      </c>
      <c r="B73" s="218">
        <f>SUM(B67:B72)</f>
        <v>8300</v>
      </c>
      <c r="C73" s="218">
        <f>SUM(C67:C72)</f>
        <v>0</v>
      </c>
      <c r="D73" s="218">
        <f>SUM(D67:D72)</f>
        <v>135000</v>
      </c>
      <c r="E73" s="218">
        <f>SUM(E67:E72)</f>
        <v>143300</v>
      </c>
      <c r="F73" s="218">
        <f>SUM(F67:F72)</f>
        <v>77500</v>
      </c>
      <c r="G73" s="219">
        <f>E73/$E$76</f>
        <v>8.6169573060733612E-2</v>
      </c>
      <c r="H73" s="217"/>
      <c r="I73" s="27"/>
      <c r="J73" s="27"/>
      <c r="K73" s="285">
        <f>SUM(K67:K71)</f>
        <v>1</v>
      </c>
      <c r="L73" s="27"/>
      <c r="M73" s="27"/>
      <c r="N73" s="47"/>
      <c r="O73" s="27"/>
      <c r="P73" s="27"/>
      <c r="Q73" s="27"/>
      <c r="R73" s="27"/>
      <c r="S73" s="27"/>
      <c r="T73" s="27"/>
      <c r="U73" s="27"/>
      <c r="V73" s="27"/>
      <c r="W73" s="27"/>
      <c r="X73" s="27"/>
      <c r="Y73" s="27"/>
      <c r="Z73" s="27"/>
    </row>
    <row r="74" spans="1:26">
      <c r="A74" s="27"/>
      <c r="B74" s="27"/>
      <c r="C74" s="27"/>
      <c r="D74" s="27"/>
      <c r="E74" s="27"/>
      <c r="F74" s="27"/>
      <c r="G74" s="27"/>
      <c r="H74" s="27"/>
      <c r="I74" s="27"/>
      <c r="J74" s="27"/>
      <c r="K74" s="27"/>
      <c r="L74" s="27"/>
      <c r="M74" s="27"/>
      <c r="N74" s="47"/>
      <c r="O74" s="27"/>
      <c r="P74" s="27"/>
      <c r="Q74" s="27"/>
      <c r="R74" s="27"/>
      <c r="S74" s="27"/>
      <c r="T74" s="27"/>
      <c r="U74" s="27"/>
      <c r="V74" s="27"/>
      <c r="W74" s="27"/>
      <c r="X74" s="27"/>
      <c r="Y74" s="27"/>
      <c r="Z74" s="27"/>
    </row>
    <row r="76" spans="1:26">
      <c r="A76" s="28" t="s">
        <v>302</v>
      </c>
      <c r="B76" s="48">
        <f>SUM(B16,B24,B32,B37,B42,B50,B56,B63,B73)</f>
        <v>508000</v>
      </c>
      <c r="C76" s="48">
        <f>SUM(C16,C24,C32,C37,C42,C50,C56,C63,C73)</f>
        <v>1020000</v>
      </c>
      <c r="D76" s="48">
        <f>SUM(D16,D24,D32,D37,D42,D50,D56,D63,D73)</f>
        <v>135000</v>
      </c>
      <c r="E76" s="48">
        <f>SUM(E16,E24,E32,E37,E42,E50,E56,E63,E73)</f>
        <v>1663000</v>
      </c>
      <c r="F76" s="48">
        <f>SUM(F16,F24,F32,F37,F42,F50,F56,F63,F73)</f>
        <v>148100</v>
      </c>
      <c r="G76" s="49">
        <f>SUM(G9:G75)</f>
        <v>0.99999999999999989</v>
      </c>
      <c r="H76" s="29"/>
      <c r="I76" s="29"/>
      <c r="J76" s="29"/>
      <c r="K76" s="29"/>
      <c r="L76" s="29"/>
      <c r="M76" s="29"/>
      <c r="N76" s="50"/>
      <c r="O76" s="29"/>
      <c r="P76" s="29"/>
      <c r="Q76" s="29"/>
      <c r="R76" s="29"/>
      <c r="S76" s="29"/>
      <c r="T76" s="29"/>
      <c r="U76" s="29"/>
      <c r="V76" s="29"/>
      <c r="W76" s="29"/>
      <c r="X76" s="29"/>
      <c r="Y76" s="29"/>
      <c r="Z76" s="29"/>
    </row>
    <row r="77" spans="1:26">
      <c r="F77" s="222"/>
    </row>
    <row r="78" spans="1:26">
      <c r="A78" s="185" t="s">
        <v>195</v>
      </c>
      <c r="B78" s="190"/>
      <c r="D78" s="292"/>
      <c r="E78" s="293" t="s">
        <v>258</v>
      </c>
      <c r="F78" s="294" t="s">
        <v>257</v>
      </c>
      <c r="N78" s="19"/>
    </row>
    <row r="79" spans="1:26">
      <c r="A79" s="186" t="s">
        <v>196</v>
      </c>
      <c r="B79" s="187">
        <f>B76/$E$76</f>
        <v>0.30547203848466625</v>
      </c>
      <c r="D79" s="289" t="s">
        <v>259</v>
      </c>
      <c r="E79" s="290">
        <v>975000</v>
      </c>
      <c r="F79" s="302">
        <f>E79-C76</f>
        <v>-45000</v>
      </c>
      <c r="H79" s="304"/>
      <c r="N79" s="19"/>
    </row>
    <row r="80" spans="1:26">
      <c r="A80" s="186" t="s">
        <v>262</v>
      </c>
      <c r="B80" s="187">
        <f>C76/$E$76</f>
        <v>0.61334936861094402</v>
      </c>
      <c r="D80" s="289" t="s">
        <v>177</v>
      </c>
      <c r="E80" s="290">
        <v>135000</v>
      </c>
      <c r="F80" s="291">
        <f>E80-D73</f>
        <v>0</v>
      </c>
      <c r="J80" s="304"/>
    </row>
    <row r="81" spans="1:14">
      <c r="A81" s="186" t="s">
        <v>263</v>
      </c>
      <c r="B81" s="187">
        <f>D76/E76</f>
        <v>8.1178592904389654E-2</v>
      </c>
      <c r="C81" s="63"/>
      <c r="D81" s="289" t="s">
        <v>175</v>
      </c>
      <c r="E81" s="290">
        <f>E82-E79-E80</f>
        <v>553000</v>
      </c>
      <c r="F81" s="291">
        <f>E81-B76</f>
        <v>45000</v>
      </c>
      <c r="N81" s="19"/>
    </row>
    <row r="82" spans="1:14">
      <c r="A82" s="188" t="s">
        <v>197</v>
      </c>
      <c r="B82" s="187">
        <f>SUM(F16,F24,F32,F37,F42,F50,F56)/SUM(F16,F24,F32,F37,F42,F50,F56,F73,F63)</f>
        <v>0.30790006752194465</v>
      </c>
      <c r="C82" s="63"/>
      <c r="D82" s="295" t="s">
        <v>119</v>
      </c>
      <c r="E82" s="296">
        <f>F7</f>
        <v>1663000</v>
      </c>
      <c r="F82" s="297">
        <f>E82-E7</f>
        <v>0</v>
      </c>
      <c r="N82" s="19"/>
    </row>
    <row r="83" spans="1:14">
      <c r="A83" s="188" t="s">
        <v>198</v>
      </c>
      <c r="B83" s="187">
        <f>1-B82</f>
        <v>0.69209993247805535</v>
      </c>
      <c r="D83" s="298" t="s">
        <v>256</v>
      </c>
      <c r="E83" s="300">
        <f>'NPCC In Kind'!M27</f>
        <v>200624</v>
      </c>
      <c r="F83" s="299">
        <f>E83-F76</f>
        <v>52524</v>
      </c>
    </row>
    <row r="84" spans="1:14">
      <c r="A84" s="186" t="s">
        <v>194</v>
      </c>
      <c r="B84" s="189">
        <f>SUM(B23+B15)</f>
        <v>105000</v>
      </c>
      <c r="I84" s="270"/>
      <c r="N84" s="19"/>
    </row>
    <row r="85" spans="1:14">
      <c r="A85" s="188" t="s">
        <v>273</v>
      </c>
      <c r="B85" s="301">
        <f>C76/('NPCC In Kind'!K2)</f>
        <v>5.5476188749573963</v>
      </c>
      <c r="D85" s="305"/>
      <c r="E85" s="305"/>
      <c r="F85" s="305"/>
      <c r="G85" s="305"/>
      <c r="N85" s="19"/>
    </row>
    <row r="86" spans="1:14">
      <c r="A86" s="281" t="s">
        <v>193</v>
      </c>
      <c r="B86" s="282">
        <f>F76/('NPCC In Kind'!K2)</f>
        <v>0.80549250527567684</v>
      </c>
      <c r="D86" s="305"/>
      <c r="E86" s="305"/>
      <c r="F86" s="305"/>
      <c r="G86" s="305"/>
      <c r="I86" s="304"/>
    </row>
    <row r="87" spans="1:14">
      <c r="D87" s="305"/>
      <c r="E87" s="305"/>
      <c r="F87" s="305"/>
      <c r="G87" s="305"/>
      <c r="I87" s="304"/>
    </row>
    <row r="88" spans="1:14">
      <c r="D88" s="305"/>
      <c r="E88" s="305"/>
      <c r="F88" s="305"/>
      <c r="G88" s="305"/>
    </row>
    <row r="89" spans="1:14">
      <c r="D89" s="305"/>
      <c r="E89" s="305"/>
      <c r="F89" s="305"/>
      <c r="G89" s="305"/>
    </row>
    <row r="90" spans="1:14">
      <c r="D90" s="305"/>
      <c r="E90" s="305"/>
      <c r="F90" s="305"/>
      <c r="G90" s="305"/>
    </row>
    <row r="91" spans="1:14">
      <c r="D91" s="305"/>
      <c r="E91" s="305"/>
      <c r="F91" s="305"/>
      <c r="G91" s="305"/>
      <c r="J91" s="304"/>
    </row>
    <row r="92" spans="1:14">
      <c r="D92" s="305"/>
      <c r="E92" s="305"/>
      <c r="F92" s="305"/>
      <c r="G92" s="305"/>
      <c r="J92" s="304"/>
      <c r="K92" s="270"/>
    </row>
    <row r="93" spans="1:14">
      <c r="J93" s="304"/>
    </row>
  </sheetData>
  <mergeCells count="2">
    <mergeCell ref="H7:L7"/>
    <mergeCell ref="H66:L66"/>
  </mergeCells>
  <conditionalFormatting sqref="G7">
    <cfRule type="cellIs" dxfId="1" priority="1" operator="lessThan">
      <formula>0</formula>
    </cfRule>
    <cfRule type="cellIs" dxfId="0" priority="2" operator="greaterThanOrEqual">
      <formula>0</formula>
    </cfRule>
  </conditionalFormatting>
  <pageMargins left="0.7" right="0.7" top="0.75" bottom="0.75" header="0.3" footer="0.3"/>
  <pageSetup orientation="portrait" r:id="rId1"/>
  <ignoredErrors>
    <ignoredError sqref="K73"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B1:AR50"/>
  <sheetViews>
    <sheetView zoomScale="80" zoomScaleNormal="80" workbookViewId="0">
      <pane xSplit="2" topLeftCell="C1" activePane="topRight" state="frozen"/>
      <selection pane="topRight"/>
    </sheetView>
  </sheetViews>
  <sheetFormatPr defaultColWidth="8.85546875" defaultRowHeight="15.75"/>
  <cols>
    <col min="1" max="1" width="8.85546875" style="19"/>
    <col min="2" max="2" width="51" style="19" bestFit="1" customWidth="1"/>
    <col min="3" max="7" width="13.85546875" style="19" customWidth="1"/>
    <col min="8" max="9" width="10" style="19" customWidth="1"/>
    <col min="10" max="14" width="13.85546875" style="19" customWidth="1"/>
    <col min="15" max="16" width="10" style="19" customWidth="1"/>
    <col min="17" max="21" width="13.85546875" style="19" customWidth="1"/>
    <col min="22" max="23" width="10" style="19" customWidth="1"/>
    <col min="24" max="27" width="13.85546875" style="19" customWidth="1"/>
    <col min="28" max="28" width="14" style="19" customWidth="1"/>
    <col min="29" max="29" width="10" style="19" customWidth="1"/>
    <col min="30" max="35" width="13.85546875" style="19" customWidth="1"/>
    <col min="36" max="36" width="10" style="19" customWidth="1"/>
    <col min="37" max="37" width="35.42578125" style="19" customWidth="1"/>
    <col min="38" max="40" width="13.85546875" style="19" customWidth="1"/>
    <col min="41" max="43" width="19.28515625" style="19" customWidth="1"/>
    <col min="44" max="44" width="26.5703125" style="19" customWidth="1"/>
    <col min="45" max="16384" width="8.85546875" style="19"/>
  </cols>
  <sheetData>
    <row r="1" spans="2:44" ht="18.75">
      <c r="B1" s="337" t="s">
        <v>274</v>
      </c>
      <c r="C1" s="95" t="s">
        <v>245</v>
      </c>
    </row>
    <row r="2" spans="2:44">
      <c r="B2" s="5" t="str">
        <f>'Table of Contents'!B2</f>
        <v>FINAL Work Plan; Council Approval on October 13, 2015</v>
      </c>
      <c r="J2" s="192"/>
      <c r="K2" s="192" t="s">
        <v>228</v>
      </c>
      <c r="L2" s="193">
        <f>L3+0.01</f>
        <v>2.5000000000000001E-2</v>
      </c>
      <c r="Q2" s="192"/>
      <c r="R2" s="192" t="s">
        <v>228</v>
      </c>
      <c r="S2" s="193">
        <f>$L$2</f>
        <v>2.5000000000000001E-2</v>
      </c>
      <c r="X2" s="192"/>
      <c r="Y2" s="192" t="s">
        <v>228</v>
      </c>
      <c r="Z2" s="193">
        <f>$L$2</f>
        <v>2.5000000000000001E-2</v>
      </c>
      <c r="AE2" s="192"/>
      <c r="AF2" s="192" t="s">
        <v>228</v>
      </c>
      <c r="AG2" s="193">
        <f>$L$2</f>
        <v>2.5000000000000001E-2</v>
      </c>
    </row>
    <row r="3" spans="2:44">
      <c r="B3" t="s">
        <v>203</v>
      </c>
      <c r="J3" s="192"/>
      <c r="K3" s="192" t="s">
        <v>229</v>
      </c>
      <c r="L3" s="193">
        <v>1.4999999999999999E-2</v>
      </c>
      <c r="Q3" s="192"/>
      <c r="R3" s="192" t="s">
        <v>229</v>
      </c>
      <c r="S3" s="193">
        <f>$L$3</f>
        <v>1.4999999999999999E-2</v>
      </c>
      <c r="X3" s="192"/>
      <c r="Y3" s="192" t="s">
        <v>229</v>
      </c>
      <c r="Z3" s="193">
        <f>$L$3</f>
        <v>1.4999999999999999E-2</v>
      </c>
      <c r="AB3" s="96"/>
      <c r="AC3" s="96"/>
      <c r="AD3" s="96"/>
      <c r="AE3" s="192"/>
      <c r="AF3" s="192" t="s">
        <v>229</v>
      </c>
      <c r="AG3" s="193">
        <f>$L$3</f>
        <v>1.4999999999999999E-2</v>
      </c>
    </row>
    <row r="4" spans="2:44">
      <c r="C4" s="413" t="s">
        <v>304</v>
      </c>
      <c r="D4" s="414"/>
      <c r="E4" s="414"/>
      <c r="F4" s="414"/>
      <c r="G4" s="414"/>
      <c r="J4" s="413" t="s">
        <v>305</v>
      </c>
      <c r="K4" s="414"/>
      <c r="L4" s="414"/>
      <c r="M4" s="414"/>
      <c r="N4" s="415"/>
      <c r="Q4" s="413" t="s">
        <v>230</v>
      </c>
      <c r="R4" s="414"/>
      <c r="S4" s="414"/>
      <c r="T4" s="414"/>
      <c r="U4" s="414"/>
      <c r="X4" s="413" t="s">
        <v>231</v>
      </c>
      <c r="Y4" s="414"/>
      <c r="Z4" s="414"/>
      <c r="AA4" s="414"/>
      <c r="AB4" s="414"/>
      <c r="AC4" s="316"/>
      <c r="AE4" s="416" t="s">
        <v>232</v>
      </c>
      <c r="AF4" s="414"/>
      <c r="AG4" s="414"/>
      <c r="AH4" s="414"/>
      <c r="AI4" s="414"/>
    </row>
    <row r="5" spans="2:44" ht="47.25">
      <c r="B5" s="52" t="s">
        <v>49</v>
      </c>
      <c r="C5" s="53" t="s">
        <v>175</v>
      </c>
      <c r="D5" s="306" t="s">
        <v>247</v>
      </c>
      <c r="E5" s="54" t="s">
        <v>177</v>
      </c>
      <c r="F5" s="97" t="s">
        <v>68</v>
      </c>
      <c r="G5" s="57" t="s">
        <v>141</v>
      </c>
      <c r="I5" s="53" t="s">
        <v>107</v>
      </c>
      <c r="J5" s="53" t="s">
        <v>175</v>
      </c>
      <c r="K5" s="53" t="str">
        <f>D5</f>
        <v>Contract Analyst Team</v>
      </c>
      <c r="L5" s="54" t="s">
        <v>177</v>
      </c>
      <c r="M5" s="54" t="s">
        <v>68</v>
      </c>
      <c r="N5" s="55" t="s">
        <v>141</v>
      </c>
      <c r="P5" s="53" t="s">
        <v>107</v>
      </c>
      <c r="Q5" s="53" t="s">
        <v>175</v>
      </c>
      <c r="R5" s="306" t="s">
        <v>247</v>
      </c>
      <c r="S5" s="54" t="s">
        <v>177</v>
      </c>
      <c r="T5" s="97" t="s">
        <v>68</v>
      </c>
      <c r="U5" s="57" t="s">
        <v>141</v>
      </c>
      <c r="W5" s="53" t="s">
        <v>107</v>
      </c>
      <c r="X5" s="53" t="s">
        <v>175</v>
      </c>
      <c r="Y5" s="306" t="s">
        <v>247</v>
      </c>
      <c r="Z5" s="54" t="s">
        <v>177</v>
      </c>
      <c r="AA5" s="97" t="s">
        <v>68</v>
      </c>
      <c r="AB5" s="57" t="s">
        <v>141</v>
      </c>
      <c r="AD5" s="53" t="s">
        <v>107</v>
      </c>
      <c r="AE5" s="53" t="s">
        <v>175</v>
      </c>
      <c r="AF5" s="53" t="s">
        <v>179</v>
      </c>
      <c r="AG5" s="54" t="s">
        <v>177</v>
      </c>
      <c r="AH5" s="97" t="s">
        <v>68</v>
      </c>
      <c r="AI5" s="57" t="s">
        <v>141</v>
      </c>
      <c r="AK5" s="52" t="s">
        <v>233</v>
      </c>
      <c r="AL5" s="53">
        <v>2015</v>
      </c>
      <c r="AM5" s="53" t="s">
        <v>234</v>
      </c>
      <c r="AN5" s="53" t="s">
        <v>235</v>
      </c>
      <c r="AO5" s="420" t="s">
        <v>109</v>
      </c>
      <c r="AP5" s="420"/>
      <c r="AQ5" s="420"/>
      <c r="AR5" s="420"/>
    </row>
    <row r="6" spans="2:44" ht="38.25" customHeight="1">
      <c r="B6" s="58" t="s">
        <v>52</v>
      </c>
      <c r="C6" s="59">
        <v>112500</v>
      </c>
      <c r="D6" s="59">
        <v>428000</v>
      </c>
      <c r="E6" s="59">
        <v>0</v>
      </c>
      <c r="F6" s="311">
        <v>540500</v>
      </c>
      <c r="G6" s="65">
        <v>9600</v>
      </c>
      <c r="I6" s="315" t="s">
        <v>337</v>
      </c>
      <c r="J6" s="59">
        <f>'Category (2016)'!C6</f>
        <v>127500</v>
      </c>
      <c r="K6" s="59">
        <f>'Category (2016)'!D6</f>
        <v>325000</v>
      </c>
      <c r="L6" s="59">
        <f>'Category (2016)'!E6</f>
        <v>0</v>
      </c>
      <c r="M6" s="311">
        <f>'Category (2016)'!F6</f>
        <v>452500</v>
      </c>
      <c r="N6" s="65">
        <f>'Category (2016)'!G6</f>
        <v>8400</v>
      </c>
      <c r="P6" s="86">
        <v>0.95</v>
      </c>
      <c r="Q6" s="59">
        <f>ROUND(J6*$P6*(1+$S$2),-2)</f>
        <v>124200</v>
      </c>
      <c r="R6" s="59">
        <f t="shared" ref="R6:U14" si="0">ROUND(K6*$P6*(1+$S$2),-2)</f>
        <v>316500</v>
      </c>
      <c r="S6" s="59">
        <f t="shared" si="0"/>
        <v>0</v>
      </c>
      <c r="T6" s="311">
        <f t="shared" si="0"/>
        <v>440600</v>
      </c>
      <c r="U6" s="65">
        <f t="shared" si="0"/>
        <v>8200</v>
      </c>
      <c r="W6" s="86">
        <v>1.1499999999999999</v>
      </c>
      <c r="X6" s="59">
        <f>ROUND(Q6*$W6*(1+$Z$2),-2)</f>
        <v>146400</v>
      </c>
      <c r="Y6" s="59">
        <f t="shared" ref="Y6:AB14" si="1">ROUND(R6*$W6*(1+$Z$2),-2)</f>
        <v>373100</v>
      </c>
      <c r="Z6" s="59">
        <f t="shared" si="1"/>
        <v>0</v>
      </c>
      <c r="AA6" s="311">
        <f t="shared" si="1"/>
        <v>519400</v>
      </c>
      <c r="AB6" s="65">
        <f t="shared" si="1"/>
        <v>9700</v>
      </c>
      <c r="AD6" s="86">
        <v>0.999</v>
      </c>
      <c r="AE6" s="59">
        <f>ROUND(X6*$AD6*(1+$AG$2),-2)</f>
        <v>149900</v>
      </c>
      <c r="AF6" s="59">
        <f t="shared" ref="AF6:AI14" si="2">ROUND(Y6*$AD6*(1+$AG$2),-2)</f>
        <v>382000</v>
      </c>
      <c r="AG6" s="59">
        <f t="shared" si="2"/>
        <v>0</v>
      </c>
      <c r="AH6" s="311">
        <f t="shared" si="2"/>
        <v>531900</v>
      </c>
      <c r="AI6" s="65">
        <f t="shared" si="2"/>
        <v>9900</v>
      </c>
      <c r="AK6" s="264" t="s">
        <v>236</v>
      </c>
      <c r="AL6" s="265">
        <f>SUM(F6:F8)</f>
        <v>1049500</v>
      </c>
      <c r="AM6" s="265">
        <f>SUM(AH6:AH8)</f>
        <v>1115100</v>
      </c>
      <c r="AN6" s="265">
        <f>AM6-AL6</f>
        <v>65600</v>
      </c>
      <c r="AO6" s="421" t="s">
        <v>341</v>
      </c>
      <c r="AP6" s="422"/>
      <c r="AQ6" s="422"/>
      <c r="AR6" s="423"/>
    </row>
    <row r="7" spans="2:44" ht="38.25" customHeight="1">
      <c r="B7" s="58" t="s">
        <v>67</v>
      </c>
      <c r="C7" s="59">
        <v>90000</v>
      </c>
      <c r="D7" s="59">
        <v>310000</v>
      </c>
      <c r="E7" s="59">
        <v>0</v>
      </c>
      <c r="F7" s="311">
        <v>400000</v>
      </c>
      <c r="G7" s="65">
        <v>5100</v>
      </c>
      <c r="I7" s="315" t="s">
        <v>337</v>
      </c>
      <c r="J7" s="59">
        <f>'Category (2016)'!C7</f>
        <v>88000</v>
      </c>
      <c r="K7" s="59">
        <f>'Category (2016)'!D7</f>
        <v>240000</v>
      </c>
      <c r="L7" s="59">
        <f>'Category (2016)'!E7</f>
        <v>0</v>
      </c>
      <c r="M7" s="311">
        <f>'Category (2016)'!F7</f>
        <v>328000</v>
      </c>
      <c r="N7" s="65">
        <f>'Category (2016)'!G7</f>
        <v>2700</v>
      </c>
      <c r="P7" s="86">
        <v>1.1499999999999999</v>
      </c>
      <c r="Q7" s="59">
        <f t="shared" ref="Q7:Q14" si="3">ROUND(J7*$P7*(1+$S$2),-2)</f>
        <v>103700</v>
      </c>
      <c r="R7" s="59">
        <f t="shared" si="0"/>
        <v>282900</v>
      </c>
      <c r="S7" s="59">
        <f t="shared" si="0"/>
        <v>0</v>
      </c>
      <c r="T7" s="311">
        <f t="shared" si="0"/>
        <v>386600</v>
      </c>
      <c r="U7" s="65">
        <f t="shared" si="0"/>
        <v>3200</v>
      </c>
      <c r="W7" s="86">
        <v>0.95</v>
      </c>
      <c r="X7" s="59">
        <f t="shared" ref="X7:X14" si="4">ROUND(Q7*$W7*(1+$Z$2),-2)</f>
        <v>101000</v>
      </c>
      <c r="Y7" s="59">
        <f t="shared" si="1"/>
        <v>275500</v>
      </c>
      <c r="Z7" s="59">
        <f t="shared" si="1"/>
        <v>0</v>
      </c>
      <c r="AA7" s="311">
        <f t="shared" si="1"/>
        <v>376500</v>
      </c>
      <c r="AB7" s="65">
        <f t="shared" si="1"/>
        <v>3100</v>
      </c>
      <c r="AD7" s="338">
        <v>0.995</v>
      </c>
      <c r="AE7" s="59">
        <f t="shared" ref="AE7:AE14" si="5">ROUND(X7*$AD7*(1+$AG$2),-2)</f>
        <v>103000</v>
      </c>
      <c r="AF7" s="59">
        <f t="shared" si="2"/>
        <v>281000</v>
      </c>
      <c r="AG7" s="59">
        <f t="shared" si="2"/>
        <v>0</v>
      </c>
      <c r="AH7" s="311">
        <f t="shared" si="2"/>
        <v>384000</v>
      </c>
      <c r="AI7" s="65">
        <f t="shared" si="2"/>
        <v>3200</v>
      </c>
      <c r="AK7" s="264" t="s">
        <v>66</v>
      </c>
      <c r="AL7" s="265">
        <f>F9</f>
        <v>90500</v>
      </c>
      <c r="AM7" s="265">
        <f>AH9</f>
        <v>67200</v>
      </c>
      <c r="AN7" s="265">
        <f t="shared" ref="AN7:AN9" si="6">AM7-AL7</f>
        <v>-23300</v>
      </c>
      <c r="AO7" s="421" t="s">
        <v>338</v>
      </c>
      <c r="AP7" s="422"/>
      <c r="AQ7" s="422"/>
      <c r="AR7" s="423"/>
    </row>
    <row r="8" spans="2:44" ht="38.25" customHeight="1">
      <c r="B8" s="58" t="s">
        <v>50</v>
      </c>
      <c r="C8" s="59">
        <v>25000</v>
      </c>
      <c r="D8" s="59">
        <v>84000</v>
      </c>
      <c r="E8" s="59">
        <v>0</v>
      </c>
      <c r="F8" s="311">
        <v>109000</v>
      </c>
      <c r="G8" s="65">
        <v>900</v>
      </c>
      <c r="I8" s="315" t="s">
        <v>337</v>
      </c>
      <c r="J8" s="59">
        <f>'Category (2016)'!C8</f>
        <v>30000</v>
      </c>
      <c r="K8" s="59">
        <f>'Category (2016)'!D8</f>
        <v>175000</v>
      </c>
      <c r="L8" s="59">
        <f>'Category (2016)'!E8</f>
        <v>0</v>
      </c>
      <c r="M8" s="311">
        <f>'Category (2016)'!F8</f>
        <v>205000</v>
      </c>
      <c r="N8" s="65">
        <f>'Category (2016)'!G8</f>
        <v>500</v>
      </c>
      <c r="P8" s="86">
        <v>1</v>
      </c>
      <c r="Q8" s="59">
        <f t="shared" si="3"/>
        <v>30800</v>
      </c>
      <c r="R8" s="59">
        <f t="shared" si="0"/>
        <v>179400</v>
      </c>
      <c r="S8" s="59">
        <f t="shared" si="0"/>
        <v>0</v>
      </c>
      <c r="T8" s="311">
        <f t="shared" si="0"/>
        <v>210100</v>
      </c>
      <c r="U8" s="65">
        <f t="shared" si="0"/>
        <v>500</v>
      </c>
      <c r="W8" s="86">
        <v>0.95</v>
      </c>
      <c r="X8" s="59">
        <f t="shared" si="4"/>
        <v>30000</v>
      </c>
      <c r="Y8" s="59">
        <f t="shared" si="1"/>
        <v>174700</v>
      </c>
      <c r="Z8" s="59">
        <f t="shared" si="1"/>
        <v>0</v>
      </c>
      <c r="AA8" s="311">
        <f t="shared" si="1"/>
        <v>204600</v>
      </c>
      <c r="AB8" s="65">
        <f t="shared" si="1"/>
        <v>500</v>
      </c>
      <c r="AD8" s="86">
        <v>0.95</v>
      </c>
      <c r="AE8" s="59">
        <f t="shared" si="5"/>
        <v>29200</v>
      </c>
      <c r="AF8" s="59">
        <f t="shared" si="2"/>
        <v>170100</v>
      </c>
      <c r="AG8" s="59">
        <f t="shared" si="2"/>
        <v>0</v>
      </c>
      <c r="AH8" s="311">
        <f t="shared" si="2"/>
        <v>199200</v>
      </c>
      <c r="AI8" s="65">
        <f t="shared" si="2"/>
        <v>500</v>
      </c>
      <c r="AJ8" s="51"/>
      <c r="AK8" s="264" t="s">
        <v>237</v>
      </c>
      <c r="AL8" s="265">
        <f>SUM(F10:F11)</f>
        <v>177500</v>
      </c>
      <c r="AM8" s="265">
        <f>SUM(AH10:AH11)</f>
        <v>168700</v>
      </c>
      <c r="AN8" s="265">
        <f t="shared" si="6"/>
        <v>-8800</v>
      </c>
      <c r="AO8" s="421" t="s">
        <v>340</v>
      </c>
      <c r="AP8" s="422"/>
      <c r="AQ8" s="422"/>
      <c r="AR8" s="423"/>
    </row>
    <row r="9" spans="2:44" ht="38.25" customHeight="1">
      <c r="B9" s="66" t="s">
        <v>66</v>
      </c>
      <c r="C9" s="67">
        <v>10500</v>
      </c>
      <c r="D9" s="67">
        <v>80000</v>
      </c>
      <c r="E9" s="67">
        <v>0</v>
      </c>
      <c r="F9" s="312">
        <v>90500</v>
      </c>
      <c r="G9" s="72">
        <v>15000</v>
      </c>
      <c r="I9" s="315" t="s">
        <v>337</v>
      </c>
      <c r="J9" s="67">
        <f>'Category (2016)'!C9</f>
        <v>10000</v>
      </c>
      <c r="K9" s="67">
        <f>'Category (2016)'!D9</f>
        <v>60000</v>
      </c>
      <c r="L9" s="67">
        <f>'Category (2016)'!E9</f>
        <v>0</v>
      </c>
      <c r="M9" s="312">
        <f>'Category (2016)'!F9</f>
        <v>70000</v>
      </c>
      <c r="N9" s="72">
        <f>'Category (2016)'!G9</f>
        <v>7000</v>
      </c>
      <c r="P9" s="86">
        <v>1.5</v>
      </c>
      <c r="Q9" s="67">
        <f t="shared" si="3"/>
        <v>15400</v>
      </c>
      <c r="R9" s="67">
        <f t="shared" si="0"/>
        <v>92300</v>
      </c>
      <c r="S9" s="67">
        <f t="shared" si="0"/>
        <v>0</v>
      </c>
      <c r="T9" s="312">
        <f t="shared" si="0"/>
        <v>107600</v>
      </c>
      <c r="U9" s="72">
        <f t="shared" si="0"/>
        <v>10800</v>
      </c>
      <c r="W9" s="86">
        <v>0.59499999999999997</v>
      </c>
      <c r="X9" s="67">
        <f t="shared" si="4"/>
        <v>9400</v>
      </c>
      <c r="Y9" s="67">
        <f t="shared" si="1"/>
        <v>56300</v>
      </c>
      <c r="Z9" s="67">
        <f t="shared" si="1"/>
        <v>0</v>
      </c>
      <c r="AA9" s="312">
        <f t="shared" si="1"/>
        <v>65600</v>
      </c>
      <c r="AB9" s="72">
        <f t="shared" si="1"/>
        <v>6600</v>
      </c>
      <c r="AD9" s="86">
        <v>1</v>
      </c>
      <c r="AE9" s="67">
        <f t="shared" si="5"/>
        <v>9600</v>
      </c>
      <c r="AF9" s="67">
        <f t="shared" si="2"/>
        <v>57700</v>
      </c>
      <c r="AG9" s="67">
        <f t="shared" si="2"/>
        <v>0</v>
      </c>
      <c r="AH9" s="312">
        <f t="shared" si="2"/>
        <v>67200</v>
      </c>
      <c r="AI9" s="72">
        <f t="shared" si="2"/>
        <v>6800</v>
      </c>
      <c r="AJ9" s="51"/>
      <c r="AK9" s="264" t="s">
        <v>238</v>
      </c>
      <c r="AL9" s="265">
        <f>SUM(F12:F14)</f>
        <v>320100</v>
      </c>
      <c r="AM9" s="265">
        <f>SUM(AH12:AH14)</f>
        <v>524200</v>
      </c>
      <c r="AN9" s="265">
        <f t="shared" si="6"/>
        <v>204100</v>
      </c>
      <c r="AO9" s="421" t="s">
        <v>339</v>
      </c>
      <c r="AP9" s="422"/>
      <c r="AQ9" s="422"/>
      <c r="AR9" s="423"/>
    </row>
    <row r="10" spans="2:44" ht="38.25" customHeight="1">
      <c r="B10" s="66" t="s">
        <v>28</v>
      </c>
      <c r="C10" s="67">
        <v>0</v>
      </c>
      <c r="D10" s="67">
        <v>40000</v>
      </c>
      <c r="E10" s="67">
        <v>0</v>
      </c>
      <c r="F10" s="312">
        <v>40000</v>
      </c>
      <c r="G10" s="72">
        <v>20000</v>
      </c>
      <c r="I10" s="315" t="s">
        <v>337</v>
      </c>
      <c r="J10" s="67">
        <f>'Category (2016)'!C10</f>
        <v>0</v>
      </c>
      <c r="K10" s="67">
        <f>'Category (2016)'!D10</f>
        <v>0</v>
      </c>
      <c r="L10" s="67">
        <f>'Category (2016)'!E10</f>
        <v>0</v>
      </c>
      <c r="M10" s="312">
        <f>'Category (2016)'!F10</f>
        <v>0</v>
      </c>
      <c r="N10" s="72">
        <f>'Category (2016)'!G10</f>
        <v>0</v>
      </c>
      <c r="P10" s="86">
        <v>0</v>
      </c>
      <c r="Q10" s="67">
        <f t="shared" si="3"/>
        <v>0</v>
      </c>
      <c r="R10" s="67">
        <f t="shared" si="0"/>
        <v>0</v>
      </c>
      <c r="S10" s="67">
        <f t="shared" si="0"/>
        <v>0</v>
      </c>
      <c r="T10" s="312">
        <f t="shared" si="0"/>
        <v>0</v>
      </c>
      <c r="U10" s="72">
        <f t="shared" si="0"/>
        <v>0</v>
      </c>
      <c r="W10" s="86">
        <v>0</v>
      </c>
      <c r="X10" s="67">
        <f t="shared" si="4"/>
        <v>0</v>
      </c>
      <c r="Y10" s="67">
        <f t="shared" si="1"/>
        <v>0</v>
      </c>
      <c r="Z10" s="67">
        <f t="shared" si="1"/>
        <v>0</v>
      </c>
      <c r="AA10" s="312">
        <f t="shared" si="1"/>
        <v>0</v>
      </c>
      <c r="AB10" s="72">
        <f t="shared" si="1"/>
        <v>0</v>
      </c>
      <c r="AD10" s="86">
        <v>0</v>
      </c>
      <c r="AE10" s="67">
        <f t="shared" si="5"/>
        <v>0</v>
      </c>
      <c r="AF10" s="67">
        <f t="shared" si="2"/>
        <v>0</v>
      </c>
      <c r="AG10" s="67">
        <f t="shared" si="2"/>
        <v>0</v>
      </c>
      <c r="AH10" s="312">
        <f t="shared" si="2"/>
        <v>0</v>
      </c>
      <c r="AI10" s="72">
        <f t="shared" si="2"/>
        <v>0</v>
      </c>
      <c r="AJ10" s="51"/>
      <c r="AK10" s="266" t="s">
        <v>119</v>
      </c>
      <c r="AL10" s="267">
        <f t="shared" ref="AL10:AM10" si="7">SUM(AL6:AL9)</f>
        <v>1637600</v>
      </c>
      <c r="AM10" s="267">
        <f t="shared" si="7"/>
        <v>1875200</v>
      </c>
      <c r="AN10" s="267">
        <f>SUM(AN6:AN9)</f>
        <v>237600</v>
      </c>
      <c r="AO10" s="417"/>
      <c r="AP10" s="418"/>
      <c r="AQ10" s="418"/>
      <c r="AR10" s="419"/>
    </row>
    <row r="11" spans="2:44" ht="38.25" customHeight="1">
      <c r="B11" s="66" t="s">
        <v>72</v>
      </c>
      <c r="C11" s="67">
        <v>12500</v>
      </c>
      <c r="D11" s="67">
        <v>125000</v>
      </c>
      <c r="E11" s="67">
        <v>0</v>
      </c>
      <c r="F11" s="312">
        <v>137500</v>
      </c>
      <c r="G11" s="72">
        <v>4000</v>
      </c>
      <c r="I11" s="315" t="s">
        <v>337</v>
      </c>
      <c r="J11" s="67">
        <f>'Category (2016)'!C11</f>
        <v>15000</v>
      </c>
      <c r="K11" s="67">
        <f>'Category (2016)'!D11</f>
        <v>135000</v>
      </c>
      <c r="L11" s="67">
        <f>'Category (2016)'!E11</f>
        <v>0</v>
      </c>
      <c r="M11" s="312">
        <f>'Category (2016)'!F11</f>
        <v>150000</v>
      </c>
      <c r="N11" s="72">
        <f>'Category (2016)'!G11</f>
        <v>9000</v>
      </c>
      <c r="P11" s="86">
        <v>1.05</v>
      </c>
      <c r="Q11" s="67">
        <f t="shared" si="3"/>
        <v>16100</v>
      </c>
      <c r="R11" s="67">
        <f t="shared" si="0"/>
        <v>145300</v>
      </c>
      <c r="S11" s="67">
        <f t="shared" si="0"/>
        <v>0</v>
      </c>
      <c r="T11" s="312">
        <f t="shared" si="0"/>
        <v>161400</v>
      </c>
      <c r="U11" s="72">
        <f t="shared" si="0"/>
        <v>9700</v>
      </c>
      <c r="W11" s="86">
        <v>0.995</v>
      </c>
      <c r="X11" s="67">
        <f t="shared" si="4"/>
        <v>16400</v>
      </c>
      <c r="Y11" s="67">
        <f t="shared" si="1"/>
        <v>148200</v>
      </c>
      <c r="Z11" s="67">
        <f t="shared" si="1"/>
        <v>0</v>
      </c>
      <c r="AA11" s="312">
        <f t="shared" si="1"/>
        <v>164600</v>
      </c>
      <c r="AB11" s="72">
        <f t="shared" si="1"/>
        <v>9900</v>
      </c>
      <c r="AD11" s="86">
        <v>1</v>
      </c>
      <c r="AE11" s="67">
        <f t="shared" si="5"/>
        <v>16800</v>
      </c>
      <c r="AF11" s="67">
        <f t="shared" si="2"/>
        <v>151900</v>
      </c>
      <c r="AG11" s="67">
        <f t="shared" si="2"/>
        <v>0</v>
      </c>
      <c r="AH11" s="312">
        <f t="shared" si="2"/>
        <v>168700</v>
      </c>
      <c r="AI11" s="72">
        <f t="shared" si="2"/>
        <v>10100</v>
      </c>
      <c r="AJ11" s="51"/>
      <c r="AK11" s="51"/>
      <c r="AL11" s="51"/>
    </row>
    <row r="12" spans="2:44" ht="38.25" customHeight="1">
      <c r="B12" s="73" t="s">
        <v>48</v>
      </c>
      <c r="C12" s="194">
        <v>20000</v>
      </c>
      <c r="D12" s="194">
        <v>20000</v>
      </c>
      <c r="E12" s="194">
        <v>0</v>
      </c>
      <c r="F12" s="313">
        <v>40000</v>
      </c>
      <c r="G12" s="196">
        <v>55000</v>
      </c>
      <c r="I12" s="315" t="s">
        <v>337</v>
      </c>
      <c r="J12" s="194">
        <f>'Category (2016)'!C12</f>
        <v>60000</v>
      </c>
      <c r="K12" s="194">
        <f>'Category (2016)'!D12</f>
        <v>20000</v>
      </c>
      <c r="L12" s="194">
        <f>'Category (2016)'!E12</f>
        <v>0</v>
      </c>
      <c r="M12" s="313">
        <f>'Category (2016)'!F12</f>
        <v>80000</v>
      </c>
      <c r="N12" s="196">
        <f>'Category (2016)'!G12</f>
        <v>18000</v>
      </c>
      <c r="P12" s="86">
        <v>1</v>
      </c>
      <c r="Q12" s="194">
        <f t="shared" si="3"/>
        <v>61500</v>
      </c>
      <c r="R12" s="194">
        <f t="shared" si="0"/>
        <v>20500</v>
      </c>
      <c r="S12" s="194">
        <f t="shared" si="0"/>
        <v>0</v>
      </c>
      <c r="T12" s="313">
        <f t="shared" si="0"/>
        <v>82000</v>
      </c>
      <c r="U12" s="196">
        <f t="shared" si="0"/>
        <v>18500</v>
      </c>
      <c r="W12" s="86">
        <v>0.995</v>
      </c>
      <c r="X12" s="194">
        <f t="shared" si="4"/>
        <v>62700</v>
      </c>
      <c r="Y12" s="194">
        <f t="shared" si="1"/>
        <v>20900</v>
      </c>
      <c r="Z12" s="194">
        <f t="shared" si="1"/>
        <v>0</v>
      </c>
      <c r="AA12" s="313">
        <f t="shared" si="1"/>
        <v>83600</v>
      </c>
      <c r="AB12" s="196">
        <f t="shared" si="1"/>
        <v>18900</v>
      </c>
      <c r="AD12" s="86">
        <v>1</v>
      </c>
      <c r="AE12" s="194">
        <f t="shared" si="5"/>
        <v>64300</v>
      </c>
      <c r="AF12" s="194">
        <f t="shared" si="2"/>
        <v>21400</v>
      </c>
      <c r="AG12" s="194">
        <f t="shared" si="2"/>
        <v>0</v>
      </c>
      <c r="AH12" s="313">
        <f t="shared" si="2"/>
        <v>85700</v>
      </c>
      <c r="AI12" s="196">
        <f t="shared" si="2"/>
        <v>19400</v>
      </c>
      <c r="AK12" s="268"/>
    </row>
    <row r="13" spans="2:44" ht="38.25" customHeight="1">
      <c r="B13" s="73" t="s">
        <v>19</v>
      </c>
      <c r="C13" s="194">
        <v>146800</v>
      </c>
      <c r="D13" s="194">
        <v>0</v>
      </c>
      <c r="E13" s="194">
        <v>0</v>
      </c>
      <c r="F13" s="313">
        <v>146800</v>
      </c>
      <c r="G13" s="196">
        <v>5000</v>
      </c>
      <c r="I13" s="315" t="s">
        <v>337</v>
      </c>
      <c r="J13" s="194">
        <f>'Category (2016)'!C13</f>
        <v>169200</v>
      </c>
      <c r="K13" s="194">
        <f>'Category (2016)'!D13</f>
        <v>65000</v>
      </c>
      <c r="L13" s="194">
        <f>'Category (2016)'!E13</f>
        <v>0</v>
      </c>
      <c r="M13" s="313">
        <f>'Category (2016)'!F13</f>
        <v>234200</v>
      </c>
      <c r="N13" s="196">
        <f>'Category (2016)'!G13</f>
        <v>25000</v>
      </c>
      <c r="P13" s="86">
        <v>1.05</v>
      </c>
      <c r="Q13" s="194">
        <f t="shared" si="3"/>
        <v>182100</v>
      </c>
      <c r="R13" s="194">
        <f t="shared" si="0"/>
        <v>70000</v>
      </c>
      <c r="S13" s="194">
        <f t="shared" si="0"/>
        <v>0</v>
      </c>
      <c r="T13" s="313">
        <f t="shared" si="0"/>
        <v>252100</v>
      </c>
      <c r="U13" s="196">
        <f t="shared" si="0"/>
        <v>26900</v>
      </c>
      <c r="W13" s="86">
        <v>1.02</v>
      </c>
      <c r="X13" s="194">
        <f t="shared" si="4"/>
        <v>190400</v>
      </c>
      <c r="Y13" s="194">
        <f t="shared" si="1"/>
        <v>73200</v>
      </c>
      <c r="Z13" s="194">
        <f t="shared" si="1"/>
        <v>0</v>
      </c>
      <c r="AA13" s="313">
        <f t="shared" si="1"/>
        <v>263600</v>
      </c>
      <c r="AB13" s="196">
        <f t="shared" si="1"/>
        <v>28100</v>
      </c>
      <c r="AD13" s="86">
        <v>1.02</v>
      </c>
      <c r="AE13" s="194">
        <f t="shared" si="5"/>
        <v>199100</v>
      </c>
      <c r="AF13" s="194">
        <f t="shared" si="2"/>
        <v>76500</v>
      </c>
      <c r="AG13" s="194">
        <f t="shared" si="2"/>
        <v>0</v>
      </c>
      <c r="AH13" s="313">
        <f t="shared" si="2"/>
        <v>275600</v>
      </c>
      <c r="AI13" s="196">
        <f t="shared" si="2"/>
        <v>29400</v>
      </c>
      <c r="AK13" s="268"/>
    </row>
    <row r="14" spans="2:44" ht="38.25" customHeight="1">
      <c r="B14" s="73" t="s">
        <v>51</v>
      </c>
      <c r="C14" s="194">
        <v>8300</v>
      </c>
      <c r="D14" s="194">
        <v>0</v>
      </c>
      <c r="E14" s="194">
        <v>125000</v>
      </c>
      <c r="F14" s="313">
        <v>133300</v>
      </c>
      <c r="G14" s="196">
        <v>87000</v>
      </c>
      <c r="I14" s="315" t="s">
        <v>337</v>
      </c>
      <c r="J14" s="194">
        <f>'Category (2016)'!C14</f>
        <v>8300</v>
      </c>
      <c r="K14" s="194">
        <f>'Category (2016)'!D14</f>
        <v>0</v>
      </c>
      <c r="L14" s="194">
        <f>'Category (2016)'!E14</f>
        <v>135000</v>
      </c>
      <c r="M14" s="313">
        <f>'Category (2016)'!F14</f>
        <v>143300</v>
      </c>
      <c r="N14" s="196">
        <f>'Category (2016)'!G14</f>
        <v>77500</v>
      </c>
      <c r="P14" s="86">
        <v>1.0169999999999999</v>
      </c>
      <c r="Q14" s="194">
        <f t="shared" si="3"/>
        <v>8700</v>
      </c>
      <c r="R14" s="194">
        <f t="shared" si="0"/>
        <v>0</v>
      </c>
      <c r="S14" s="194">
        <f t="shared" si="0"/>
        <v>140700</v>
      </c>
      <c r="T14" s="313">
        <f t="shared" si="0"/>
        <v>149400</v>
      </c>
      <c r="U14" s="196">
        <f t="shared" si="0"/>
        <v>80800</v>
      </c>
      <c r="W14" s="86">
        <v>1.0175000000000001</v>
      </c>
      <c r="X14" s="194">
        <f t="shared" si="4"/>
        <v>9100</v>
      </c>
      <c r="Y14" s="194">
        <f t="shared" si="1"/>
        <v>0</v>
      </c>
      <c r="Z14" s="194">
        <f t="shared" si="1"/>
        <v>146700</v>
      </c>
      <c r="AA14" s="313">
        <f t="shared" si="1"/>
        <v>155800</v>
      </c>
      <c r="AB14" s="196">
        <f t="shared" si="1"/>
        <v>84300</v>
      </c>
      <c r="AD14" s="86">
        <v>1.02</v>
      </c>
      <c r="AE14" s="194">
        <f t="shared" si="5"/>
        <v>9500</v>
      </c>
      <c r="AF14" s="194">
        <f t="shared" si="2"/>
        <v>0</v>
      </c>
      <c r="AG14" s="194">
        <f t="shared" si="2"/>
        <v>153400</v>
      </c>
      <c r="AH14" s="313">
        <f t="shared" si="2"/>
        <v>162900</v>
      </c>
      <c r="AI14" s="196">
        <f t="shared" si="2"/>
        <v>88100</v>
      </c>
      <c r="AK14" s="268"/>
    </row>
    <row r="15" spans="2:44" ht="38.25" customHeight="1">
      <c r="B15" s="308" t="s">
        <v>20</v>
      </c>
      <c r="C15" s="309">
        <f>SUM(C6:C14)</f>
        <v>425600</v>
      </c>
      <c r="D15" s="309">
        <f t="shared" ref="D15:E15" si="8">SUM(D6:D14)</f>
        <v>1087000</v>
      </c>
      <c r="E15" s="309">
        <f t="shared" si="8"/>
        <v>125000</v>
      </c>
      <c r="F15" s="314">
        <f>SUM(F6:F14)</f>
        <v>1637600</v>
      </c>
      <c r="G15" s="310">
        <f t="shared" ref="G15" si="9">SUM(G6:G14)</f>
        <v>201600</v>
      </c>
      <c r="J15" s="78">
        <f>SUM(J6:J14)</f>
        <v>508000</v>
      </c>
      <c r="K15" s="78">
        <f t="shared" ref="K15:N15" si="10">SUM(K6:K14)</f>
        <v>1020000</v>
      </c>
      <c r="L15" s="78">
        <f t="shared" si="10"/>
        <v>135000</v>
      </c>
      <c r="M15" s="98">
        <f t="shared" si="10"/>
        <v>1663000</v>
      </c>
      <c r="N15" s="83">
        <f t="shared" si="10"/>
        <v>148100</v>
      </c>
      <c r="Q15" s="78">
        <f>SUM(Q6:Q14)</f>
        <v>542500</v>
      </c>
      <c r="R15" s="78">
        <f t="shared" ref="R15:U15" si="11">SUM(R6:R14)</f>
        <v>1106900</v>
      </c>
      <c r="S15" s="78">
        <f t="shared" si="11"/>
        <v>140700</v>
      </c>
      <c r="T15" s="98">
        <f t="shared" si="11"/>
        <v>1789800</v>
      </c>
      <c r="U15" s="83">
        <f t="shared" si="11"/>
        <v>158600</v>
      </c>
      <c r="X15" s="78">
        <f>SUM(X6:X14)</f>
        <v>565400</v>
      </c>
      <c r="Y15" s="78">
        <f t="shared" ref="Y15" si="12">SUM(Y6:Y14)</f>
        <v>1121900</v>
      </c>
      <c r="Z15" s="78">
        <f t="shared" ref="Z15:AB15" si="13">SUM(Z6:Z14)</f>
        <v>146700</v>
      </c>
      <c r="AA15" s="98">
        <f t="shared" si="13"/>
        <v>1833700</v>
      </c>
      <c r="AB15" s="83">
        <f t="shared" si="13"/>
        <v>161100</v>
      </c>
      <c r="AE15" s="78">
        <f>SUM(AE6:AE14)</f>
        <v>581400</v>
      </c>
      <c r="AF15" s="78">
        <f t="shared" ref="AF15:AI15" si="14">SUM(AF6:AF14)</f>
        <v>1140600</v>
      </c>
      <c r="AG15" s="78">
        <f t="shared" si="14"/>
        <v>153400</v>
      </c>
      <c r="AH15" s="98">
        <f t="shared" si="14"/>
        <v>1875200</v>
      </c>
      <c r="AI15" s="83">
        <f t="shared" si="14"/>
        <v>167400</v>
      </c>
    </row>
    <row r="16" spans="2:44">
      <c r="B16" s="99" t="s">
        <v>30</v>
      </c>
      <c r="C16" s="100"/>
      <c r="D16" s="101">
        <f>'Category Detail (2016)'!B85</f>
        <v>5.5476188749573963</v>
      </c>
      <c r="E16" s="307">
        <v>1</v>
      </c>
      <c r="F16" s="102"/>
      <c r="G16" s="103">
        <f>'Category Detail (2016)'!B86</f>
        <v>0.80549250527567684</v>
      </c>
      <c r="J16" s="99" t="s">
        <v>30</v>
      </c>
      <c r="K16" s="101">
        <f>K15/('[1]NPCC In Kind'!$K$2*(1+L2))</f>
        <v>6.2195121951219514</v>
      </c>
      <c r="L16" s="307">
        <v>1</v>
      </c>
      <c r="M16" s="269"/>
      <c r="N16" s="101">
        <f>N15/('[1]NPCC In Kind'!$K$2*(1+N2))</f>
        <v>0.92562500000000003</v>
      </c>
      <c r="Q16" s="99" t="s">
        <v>30</v>
      </c>
      <c r="R16" s="101">
        <f>R15/('[1]NPCC In Kind'!$K$2*(1+S2))</f>
        <v>6.7493902439024387</v>
      </c>
      <c r="S16" s="101">
        <f>S15/('[1]NPCC In Kind'!$K$2*(1+T2))</f>
        <v>0.87937500000000002</v>
      </c>
      <c r="T16" s="101"/>
      <c r="U16" s="101">
        <f>U15/('[1]NPCC In Kind'!$K$2*(1+V2))</f>
        <v>0.99124999999999996</v>
      </c>
      <c r="X16" s="99" t="s">
        <v>30</v>
      </c>
      <c r="Y16" s="101">
        <f>Y15/('[1]NPCC In Kind'!$K$2*(1+Z2))</f>
        <v>6.8408536585365853</v>
      </c>
      <c r="Z16" s="101">
        <f>Z15/('[1]NPCC In Kind'!$K$2*(1+AA2))</f>
        <v>0.916875</v>
      </c>
      <c r="AA16" s="269"/>
      <c r="AB16" s="101">
        <f>AB15/('[1]NPCC In Kind'!$K$2*(1+AB2))</f>
        <v>1.006875</v>
      </c>
      <c r="AE16" s="99" t="s">
        <v>30</v>
      </c>
      <c r="AF16" s="101">
        <f>AF15/('[1]NPCC In Kind'!$K$2*(1+AG2))</f>
        <v>6.954878048780488</v>
      </c>
      <c r="AG16" s="101">
        <f>AG15/('[1]NPCC In Kind'!$K$2*(1+AH2))</f>
        <v>0.95874999999999999</v>
      </c>
      <c r="AH16" s="101"/>
      <c r="AI16" s="101">
        <f>AI15/('[1]NPCC In Kind'!$K$2*(1+AJ2))</f>
        <v>1.0462499999999999</v>
      </c>
    </row>
    <row r="17" spans="2:35">
      <c r="J17" s="270"/>
      <c r="K17" s="271"/>
      <c r="N17" s="51"/>
      <c r="P17" s="270"/>
      <c r="Q17" s="271"/>
      <c r="S17" s="305"/>
      <c r="T17" s="344"/>
      <c r="U17" s="51"/>
      <c r="V17" s="270"/>
      <c r="W17" s="271"/>
      <c r="Z17" s="305"/>
      <c r="AA17" s="346"/>
      <c r="AB17" s="270"/>
      <c r="AC17" s="271"/>
      <c r="AG17" s="305"/>
      <c r="AH17" s="344"/>
      <c r="AI17" s="51"/>
    </row>
    <row r="18" spans="2:35" ht="47.25">
      <c r="C18" s="53" t="s">
        <v>175</v>
      </c>
      <c r="D18" s="306" t="s">
        <v>247</v>
      </c>
      <c r="E18" s="306" t="s">
        <v>177</v>
      </c>
      <c r="F18" s="53" t="s">
        <v>68</v>
      </c>
      <c r="G18" s="53" t="s">
        <v>171</v>
      </c>
      <c r="K18" s="51"/>
      <c r="M18" s="318"/>
      <c r="N18" s="318"/>
      <c r="O18" s="318"/>
      <c r="P18" s="318"/>
      <c r="Q18" s="318"/>
      <c r="R18" s="318"/>
      <c r="S18" s="345"/>
      <c r="T18" s="344"/>
      <c r="U18" s="318"/>
      <c r="V18" s="318"/>
      <c r="W18" s="318"/>
      <c r="X18" s="318"/>
      <c r="Y18" s="318"/>
      <c r="Z18" s="345"/>
      <c r="AA18" s="344"/>
      <c r="AB18" s="318"/>
      <c r="AC18" s="318"/>
      <c r="AD18" s="318"/>
      <c r="AE18" s="318"/>
      <c r="AF18" s="318"/>
      <c r="AG18" s="345"/>
      <c r="AH18" s="344"/>
    </row>
    <row r="19" spans="2:35">
      <c r="B19" s="317" t="s">
        <v>277</v>
      </c>
      <c r="C19" s="105">
        <f>C15</f>
        <v>425600</v>
      </c>
      <c r="D19" s="105">
        <f>D15</f>
        <v>1087000</v>
      </c>
      <c r="E19" s="105">
        <f>E15</f>
        <v>125000</v>
      </c>
      <c r="F19" s="105">
        <f>F15</f>
        <v>1637600</v>
      </c>
      <c r="G19" s="105">
        <f>G15</f>
        <v>201600</v>
      </c>
    </row>
    <row r="20" spans="2:35">
      <c r="B20" s="317" t="s">
        <v>278</v>
      </c>
      <c r="C20" s="105">
        <f>J15</f>
        <v>508000</v>
      </c>
      <c r="D20" s="105">
        <f t="shared" ref="D20:E20" si="15">K15</f>
        <v>1020000</v>
      </c>
      <c r="E20" s="105">
        <f t="shared" si="15"/>
        <v>135000</v>
      </c>
      <c r="F20" s="105">
        <f>M15</f>
        <v>1663000</v>
      </c>
      <c r="G20" s="105">
        <f>N15</f>
        <v>148100</v>
      </c>
    </row>
    <row r="21" spans="2:35">
      <c r="B21" s="317" t="s">
        <v>279</v>
      </c>
      <c r="C21" s="105">
        <f>Q15</f>
        <v>542500</v>
      </c>
      <c r="D21" s="105">
        <f>R15</f>
        <v>1106900</v>
      </c>
      <c r="E21" s="105">
        <f>S15</f>
        <v>140700</v>
      </c>
      <c r="F21" s="105">
        <f>T15</f>
        <v>1789800</v>
      </c>
      <c r="G21" s="105">
        <f>U15</f>
        <v>158600</v>
      </c>
    </row>
    <row r="22" spans="2:35">
      <c r="B22" s="317" t="s">
        <v>280</v>
      </c>
      <c r="C22" s="105">
        <f>X15</f>
        <v>565400</v>
      </c>
      <c r="D22" s="105">
        <f>Y15</f>
        <v>1121900</v>
      </c>
      <c r="E22" s="105">
        <f>Z15</f>
        <v>146700</v>
      </c>
      <c r="F22" s="105">
        <f>AA15</f>
        <v>1833700</v>
      </c>
      <c r="G22" s="105">
        <f>AB15</f>
        <v>161100</v>
      </c>
    </row>
    <row r="23" spans="2:35">
      <c r="B23" s="319" t="s">
        <v>281</v>
      </c>
      <c r="C23" s="105">
        <f>AE15</f>
        <v>581400</v>
      </c>
      <c r="D23" s="105">
        <f>AF15</f>
        <v>1140600</v>
      </c>
      <c r="E23" s="105">
        <f>AG15</f>
        <v>153400</v>
      </c>
      <c r="F23" s="105">
        <f>AH15</f>
        <v>1875200</v>
      </c>
      <c r="G23" s="105">
        <f>AI15</f>
        <v>167400</v>
      </c>
    </row>
    <row r="26" spans="2:35">
      <c r="B26" s="100"/>
      <c r="C26" s="53" t="s">
        <v>164</v>
      </c>
      <c r="D26" s="53" t="s">
        <v>181</v>
      </c>
      <c r="E26" s="53" t="s">
        <v>239</v>
      </c>
      <c r="F26" s="53" t="s">
        <v>240</v>
      </c>
      <c r="G26" s="53" t="s">
        <v>241</v>
      </c>
    </row>
    <row r="27" spans="2:35">
      <c r="B27" s="104" t="s">
        <v>175</v>
      </c>
      <c r="C27" s="106">
        <f>C19</f>
        <v>425600</v>
      </c>
      <c r="D27" s="106">
        <f>C20</f>
        <v>508000</v>
      </c>
      <c r="E27" s="106">
        <f>C21</f>
        <v>542500</v>
      </c>
      <c r="F27" s="106">
        <f>C22</f>
        <v>565400</v>
      </c>
      <c r="G27" s="106">
        <f>C23</f>
        <v>581400</v>
      </c>
    </row>
    <row r="28" spans="2:35">
      <c r="B28" s="317" t="s">
        <v>247</v>
      </c>
      <c r="C28" s="106">
        <f>D19</f>
        <v>1087000</v>
      </c>
      <c r="D28" s="106">
        <f>D20</f>
        <v>1020000</v>
      </c>
      <c r="E28" s="106">
        <f>D21</f>
        <v>1106900</v>
      </c>
      <c r="F28" s="106">
        <f>D22</f>
        <v>1121900</v>
      </c>
      <c r="G28" s="106">
        <f>D23</f>
        <v>1140600</v>
      </c>
    </row>
    <row r="29" spans="2:35">
      <c r="B29" s="317" t="s">
        <v>177</v>
      </c>
      <c r="C29" s="106">
        <f>E19</f>
        <v>125000</v>
      </c>
      <c r="D29" s="106">
        <f>E20</f>
        <v>135000</v>
      </c>
      <c r="E29" s="106">
        <f>E21</f>
        <v>140700</v>
      </c>
      <c r="F29" s="106">
        <f>E22</f>
        <v>146700</v>
      </c>
      <c r="G29" s="106">
        <f>E23</f>
        <v>153400</v>
      </c>
    </row>
    <row r="30" spans="2:35">
      <c r="B30" s="104" t="s">
        <v>68</v>
      </c>
      <c r="C30" s="106">
        <f>F19</f>
        <v>1637600</v>
      </c>
      <c r="D30" s="106">
        <f>F20</f>
        <v>1663000</v>
      </c>
      <c r="E30" s="106">
        <f>F21</f>
        <v>1789800</v>
      </c>
      <c r="F30" s="106">
        <f>F22</f>
        <v>1833700</v>
      </c>
      <c r="G30" s="106">
        <f>F23</f>
        <v>1875200</v>
      </c>
    </row>
    <row r="31" spans="2:35">
      <c r="B31" s="104" t="s">
        <v>69</v>
      </c>
      <c r="C31" s="106">
        <f>G19</f>
        <v>201600</v>
      </c>
      <c r="D31" s="106">
        <f>G20</f>
        <v>148100</v>
      </c>
      <c r="E31" s="106">
        <f>G21</f>
        <v>158600</v>
      </c>
      <c r="F31" s="106">
        <f>G22</f>
        <v>161100</v>
      </c>
      <c r="G31" s="106">
        <f>G23</f>
        <v>167400</v>
      </c>
    </row>
    <row r="32" spans="2:35">
      <c r="B32" s="104" t="s">
        <v>142</v>
      </c>
      <c r="C32" s="107">
        <f>G16</f>
        <v>0.80549250527567684</v>
      </c>
      <c r="D32" s="107">
        <f>N16</f>
        <v>0.92562500000000003</v>
      </c>
      <c r="E32" s="107">
        <f>U16</f>
        <v>0.99124999999999996</v>
      </c>
      <c r="F32" s="107">
        <f>AB16</f>
        <v>1.006875</v>
      </c>
      <c r="G32" s="107">
        <f>AI16</f>
        <v>1.0462499999999999</v>
      </c>
    </row>
    <row r="35" spans="2:7">
      <c r="B35" s="108" t="s">
        <v>68</v>
      </c>
      <c r="C35" s="306" t="s">
        <v>164</v>
      </c>
      <c r="D35" s="306" t="s">
        <v>181</v>
      </c>
      <c r="E35" s="306" t="s">
        <v>239</v>
      </c>
      <c r="F35" s="306" t="s">
        <v>240</v>
      </c>
      <c r="G35" s="306" t="s">
        <v>241</v>
      </c>
    </row>
    <row r="36" spans="2:7">
      <c r="B36" s="109" t="s">
        <v>143</v>
      </c>
      <c r="C36" s="110">
        <f>SUM(F6:F8)</f>
        <v>1049500</v>
      </c>
      <c r="D36" s="110">
        <f>SUM(M6:M8)</f>
        <v>985500</v>
      </c>
      <c r="E36" s="110">
        <f>SUM(T6:T8)</f>
        <v>1037300</v>
      </c>
      <c r="F36" s="110">
        <f>SUM(AA6:AA8)</f>
        <v>1100500</v>
      </c>
      <c r="G36" s="110">
        <f>SUM(AH6:AH8)</f>
        <v>1115100</v>
      </c>
    </row>
    <row r="37" spans="2:7">
      <c r="B37" s="111" t="s">
        <v>144</v>
      </c>
      <c r="C37" s="112">
        <f>SUM(F9:F11)</f>
        <v>268000</v>
      </c>
      <c r="D37" s="112">
        <f>SUM(M9:M11)</f>
        <v>220000</v>
      </c>
      <c r="E37" s="112">
        <f>SUM(T9:T11)</f>
        <v>269000</v>
      </c>
      <c r="F37" s="112">
        <f>SUM(AA9:AA11)</f>
        <v>230200</v>
      </c>
      <c r="G37" s="112">
        <f>SUM(AH9:AH11)</f>
        <v>235900</v>
      </c>
    </row>
    <row r="38" spans="2:7">
      <c r="B38" s="113" t="s">
        <v>51</v>
      </c>
      <c r="C38" s="114">
        <f>SUM(F12:F14)</f>
        <v>320100</v>
      </c>
      <c r="D38" s="114">
        <f>SUM(M12:M14)</f>
        <v>457500</v>
      </c>
      <c r="E38" s="114">
        <f>SUM(T12:T14)</f>
        <v>483500</v>
      </c>
      <c r="F38" s="114">
        <f>SUM(AA12:AA14)</f>
        <v>503000</v>
      </c>
      <c r="G38" s="114">
        <f>SUM(AH12:AH14)</f>
        <v>524200</v>
      </c>
    </row>
    <row r="39" spans="2:7">
      <c r="B39" s="115" t="s">
        <v>119</v>
      </c>
      <c r="C39" s="116">
        <f>SUM(C36:C38)</f>
        <v>1637600</v>
      </c>
      <c r="D39" s="116">
        <f t="shared" ref="D39:G39" si="16">SUM(D36:D38)</f>
        <v>1663000</v>
      </c>
      <c r="E39" s="116">
        <f t="shared" si="16"/>
        <v>1789800</v>
      </c>
      <c r="F39" s="116">
        <f t="shared" si="16"/>
        <v>1833700</v>
      </c>
      <c r="G39" s="116">
        <f t="shared" si="16"/>
        <v>1875200</v>
      </c>
    </row>
    <row r="42" spans="2:7">
      <c r="B42" s="108" t="s">
        <v>145</v>
      </c>
      <c r="C42" s="306" t="s">
        <v>164</v>
      </c>
      <c r="D42" s="306" t="s">
        <v>181</v>
      </c>
      <c r="E42" s="306" t="s">
        <v>239</v>
      </c>
      <c r="F42" s="306" t="s">
        <v>240</v>
      </c>
      <c r="G42" s="306" t="s">
        <v>241</v>
      </c>
    </row>
    <row r="43" spans="2:7">
      <c r="B43" s="109" t="s">
        <v>143</v>
      </c>
      <c r="C43" s="110">
        <f>SUM(F6:G8)</f>
        <v>1065100</v>
      </c>
      <c r="D43" s="110">
        <f>SUM(M6:N8)</f>
        <v>997100</v>
      </c>
      <c r="E43" s="110">
        <f>SUM(T6:U8)</f>
        <v>1049200</v>
      </c>
      <c r="F43" s="110">
        <f>SUM(AA6:AB8)</f>
        <v>1113800</v>
      </c>
      <c r="G43" s="110">
        <f>SUM(AH6:AI8)</f>
        <v>1128700</v>
      </c>
    </row>
    <row r="44" spans="2:7">
      <c r="B44" s="111" t="s">
        <v>144</v>
      </c>
      <c r="C44" s="112">
        <f>SUM(F9:G11)</f>
        <v>307000</v>
      </c>
      <c r="D44" s="112">
        <f>SUM(M9:N11)</f>
        <v>236000</v>
      </c>
      <c r="E44" s="112">
        <f>SUM(T9:U11)</f>
        <v>289500</v>
      </c>
      <c r="F44" s="112">
        <f>SUM(AA9:AB11)</f>
        <v>246700</v>
      </c>
      <c r="G44" s="112">
        <f>SUM(AH9:AI11)</f>
        <v>252800</v>
      </c>
    </row>
    <row r="45" spans="2:7">
      <c r="B45" s="113" t="s">
        <v>51</v>
      </c>
      <c r="C45" s="114">
        <f>SUM(F12:G14)</f>
        <v>467100</v>
      </c>
      <c r="D45" s="114">
        <f>SUM(M12:N14)</f>
        <v>578000</v>
      </c>
      <c r="E45" s="114">
        <f>SUM(T12:U14)</f>
        <v>609700</v>
      </c>
      <c r="F45" s="114">
        <f>SUM(AA12:AB14)</f>
        <v>634300</v>
      </c>
      <c r="G45" s="114">
        <f>SUM(AH12:AI14)</f>
        <v>661100</v>
      </c>
    </row>
    <row r="46" spans="2:7">
      <c r="B46" s="115" t="s">
        <v>119</v>
      </c>
      <c r="C46" s="116">
        <f>SUM(C43:C45)</f>
        <v>1839200</v>
      </c>
      <c r="D46" s="116">
        <f t="shared" ref="D46:G46" si="17">SUM(D43:D45)</f>
        <v>1811100</v>
      </c>
      <c r="E46" s="116">
        <f t="shared" si="17"/>
        <v>1948400</v>
      </c>
      <c r="F46" s="116">
        <f t="shared" si="17"/>
        <v>1994800</v>
      </c>
      <c r="G46" s="116">
        <f t="shared" si="17"/>
        <v>2042600</v>
      </c>
    </row>
    <row r="48" spans="2:7">
      <c r="B48" s="108" t="s">
        <v>242</v>
      </c>
      <c r="C48" s="306" t="s">
        <v>164</v>
      </c>
      <c r="D48" s="306" t="s">
        <v>181</v>
      </c>
      <c r="E48" s="306" t="s">
        <v>239</v>
      </c>
      <c r="F48" s="306" t="s">
        <v>240</v>
      </c>
      <c r="G48" s="306" t="s">
        <v>241</v>
      </c>
    </row>
    <row r="49" spans="2:7">
      <c r="B49" s="272" t="s">
        <v>243</v>
      </c>
      <c r="C49" s="273"/>
      <c r="D49" s="274">
        <f>M15-F$15</f>
        <v>25400</v>
      </c>
      <c r="E49" s="274">
        <f>T15-M$15</f>
        <v>126800</v>
      </c>
      <c r="F49" s="274">
        <f>AA15-T$15</f>
        <v>43900</v>
      </c>
      <c r="G49" s="274">
        <f>AH15-AA$15</f>
        <v>41500</v>
      </c>
    </row>
    <row r="50" spans="2:7">
      <c r="B50" s="272" t="s">
        <v>275</v>
      </c>
      <c r="C50" s="273"/>
      <c r="D50" s="274">
        <f>M15-F$15</f>
        <v>25400</v>
      </c>
      <c r="E50" s="274">
        <f>T15-$F$15</f>
        <v>152200</v>
      </c>
      <c r="F50" s="274">
        <f>AA15-$F$15</f>
        <v>196100</v>
      </c>
      <c r="G50" s="274">
        <f>AH15-$F$15</f>
        <v>237600</v>
      </c>
    </row>
  </sheetData>
  <mergeCells count="11">
    <mergeCell ref="AO10:AR10"/>
    <mergeCell ref="AO5:AR5"/>
    <mergeCell ref="AO6:AR6"/>
    <mergeCell ref="AO7:AR7"/>
    <mergeCell ref="AO8:AR8"/>
    <mergeCell ref="AO9:AR9"/>
    <mergeCell ref="C4:G4"/>
    <mergeCell ref="J4:N4"/>
    <mergeCell ref="Q4:U4"/>
    <mergeCell ref="X4:AB4"/>
    <mergeCell ref="AE4:AI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codeName="Sheet5" enableFormatConditionsCalculation="0">
    <pageSetUpPr fitToPage="1"/>
  </sheetPr>
  <dimension ref="B1:AU29"/>
  <sheetViews>
    <sheetView zoomScale="90" zoomScaleNormal="90" workbookViewId="0"/>
  </sheetViews>
  <sheetFormatPr defaultColWidth="8.85546875" defaultRowHeight="15.75"/>
  <cols>
    <col min="1" max="2" width="19.140625" style="117" customWidth="1"/>
    <col min="3" max="3" width="28.5703125" style="117" customWidth="1"/>
    <col min="4" max="4" width="44.140625" style="117" bestFit="1" customWidth="1"/>
    <col min="5" max="5" width="20.42578125" style="117" bestFit="1" customWidth="1"/>
    <col min="6" max="7" width="19.140625" style="117" customWidth="1"/>
    <col min="8" max="8" width="5" style="117" customWidth="1"/>
    <col min="9" max="9" width="26.85546875" style="117" customWidth="1"/>
    <col min="10" max="10" width="44.140625" style="117" bestFit="1" customWidth="1"/>
    <col min="11" max="11" width="20.42578125" style="117" bestFit="1" customWidth="1"/>
    <col min="12" max="12" width="12.42578125" style="117" bestFit="1" customWidth="1"/>
    <col min="13" max="13" width="10.85546875" style="117" bestFit="1" customWidth="1"/>
    <col min="14" max="14" width="5" style="117" customWidth="1"/>
    <col min="15" max="15" width="27" style="117" customWidth="1"/>
    <col min="16" max="16" width="44.140625" style="117" bestFit="1" customWidth="1"/>
    <col min="17" max="17" width="14.28515625" style="117" bestFit="1" customWidth="1"/>
    <col min="18" max="18" width="12.42578125" style="117" bestFit="1" customWidth="1"/>
    <col min="19" max="19" width="10.85546875" style="117" bestFit="1" customWidth="1"/>
    <col min="20" max="20" width="4.42578125" style="117" customWidth="1"/>
    <col min="21" max="21" width="18.42578125" style="117" customWidth="1"/>
    <col min="22" max="22" width="32" style="117" bestFit="1" customWidth="1"/>
    <col min="23" max="23" width="14.28515625" style="117" bestFit="1" customWidth="1"/>
    <col min="24" max="24" width="12.42578125" style="117" bestFit="1" customWidth="1"/>
    <col min="25" max="25" width="10.85546875" style="117" bestFit="1" customWidth="1"/>
    <col min="26" max="26" width="11" style="117" bestFit="1" customWidth="1"/>
    <col min="27" max="27" width="29.5703125" style="117" customWidth="1"/>
    <col min="28" max="28" width="44.140625" style="117" bestFit="1" customWidth="1"/>
    <col min="29" max="29" width="18.42578125" style="117" customWidth="1"/>
    <col min="30" max="30" width="15" style="117" customWidth="1"/>
    <col min="31" max="31" width="14.28515625" style="117" bestFit="1" customWidth="1"/>
    <col min="32" max="32" width="12.42578125" style="117" bestFit="1" customWidth="1"/>
    <col min="33" max="33" width="20.85546875" style="117" customWidth="1"/>
    <col min="34" max="34" width="35" style="117" bestFit="1" customWidth="1"/>
    <col min="35" max="35" width="11" style="117" bestFit="1" customWidth="1"/>
    <col min="36" max="36" width="8.85546875" style="117"/>
    <col min="37" max="37" width="10.7109375" style="117" customWidth="1"/>
    <col min="38" max="38" width="10.85546875" style="117" customWidth="1"/>
    <col min="39" max="40" width="8.85546875" style="117"/>
    <col min="41" max="41" width="20.28515625" style="117" customWidth="1"/>
    <col min="42" max="42" width="35" style="117" bestFit="1" customWidth="1"/>
    <col min="43" max="45" width="15.140625" style="117" customWidth="1"/>
    <col min="46" max="16384" width="8.85546875" style="117"/>
  </cols>
  <sheetData>
    <row r="1" spans="2:47" ht="18.75">
      <c r="B1" s="183" t="s">
        <v>110</v>
      </c>
      <c r="E1" s="118" t="s">
        <v>88</v>
      </c>
      <c r="H1" s="183"/>
      <c r="K1" s="118" t="s">
        <v>88</v>
      </c>
      <c r="N1" s="183"/>
      <c r="Q1" s="118" t="s">
        <v>88</v>
      </c>
    </row>
    <row r="2" spans="2:47">
      <c r="B2" s="1" t="str">
        <f>'Table of Contents'!B2</f>
        <v>FINAL Work Plan; Council Approval on October 13, 2015</v>
      </c>
      <c r="E2" s="324">
        <v>183862.66666666666</v>
      </c>
      <c r="F2" s="224"/>
      <c r="H2" s="1"/>
      <c r="K2" s="119">
        <v>183862.66666666666</v>
      </c>
      <c r="L2" s="224"/>
      <c r="N2" s="1"/>
      <c r="Q2" s="119">
        <v>160000</v>
      </c>
    </row>
    <row r="3" spans="2:47">
      <c r="B3" s="32"/>
      <c r="H3" s="32"/>
      <c r="N3" s="32"/>
    </row>
    <row r="4" spans="2:47">
      <c r="C4" s="287" t="s">
        <v>306</v>
      </c>
      <c r="D4" s="288"/>
      <c r="F4" s="121">
        <f>G22</f>
        <v>1.9800000000000002</v>
      </c>
      <c r="G4" s="122" t="s">
        <v>30</v>
      </c>
      <c r="I4" s="287" t="s">
        <v>251</v>
      </c>
      <c r="J4" s="288"/>
      <c r="L4" s="121">
        <f>M22</f>
        <v>2.66</v>
      </c>
      <c r="M4" s="122" t="s">
        <v>30</v>
      </c>
      <c r="O4" s="120" t="s">
        <v>189</v>
      </c>
      <c r="R4" s="121">
        <f>S21</f>
        <v>2.7900000000000005</v>
      </c>
      <c r="S4" s="122" t="s">
        <v>30</v>
      </c>
      <c r="U4" s="120" t="s">
        <v>149</v>
      </c>
      <c r="X4" s="121">
        <f>Y21</f>
        <v>2.6200000000000006</v>
      </c>
      <c r="Y4" s="122" t="s">
        <v>30</v>
      </c>
      <c r="AA4" s="120" t="s">
        <v>178</v>
      </c>
      <c r="AD4" s="121">
        <f>AE20</f>
        <v>2.3539999999999996</v>
      </c>
      <c r="AE4" s="122" t="s">
        <v>30</v>
      </c>
      <c r="AG4" s="120" t="s">
        <v>29</v>
      </c>
      <c r="AL4" s="121">
        <f>AK20</f>
        <v>2.4799999999999991</v>
      </c>
      <c r="AM4" s="122" t="s">
        <v>30</v>
      </c>
      <c r="AO4" s="120" t="s">
        <v>31</v>
      </c>
      <c r="AT4" s="123">
        <f>AS19</f>
        <v>1.2800000000000002</v>
      </c>
      <c r="AU4" s="124" t="s">
        <v>30</v>
      </c>
    </row>
    <row r="6" spans="2:47" ht="64.5" customHeight="1">
      <c r="C6" s="125" t="s">
        <v>32</v>
      </c>
      <c r="D6" s="125" t="s">
        <v>33</v>
      </c>
      <c r="E6" s="125" t="s">
        <v>34</v>
      </c>
      <c r="F6" s="125" t="s">
        <v>35</v>
      </c>
      <c r="G6" s="125" t="s">
        <v>36</v>
      </c>
      <c r="I6" s="125" t="s">
        <v>32</v>
      </c>
      <c r="J6" s="125" t="s">
        <v>33</v>
      </c>
      <c r="K6" s="125" t="s">
        <v>34</v>
      </c>
      <c r="L6" s="125" t="s">
        <v>35</v>
      </c>
      <c r="M6" s="125" t="s">
        <v>36</v>
      </c>
      <c r="O6" s="125" t="s">
        <v>32</v>
      </c>
      <c r="P6" s="125" t="s">
        <v>33</v>
      </c>
      <c r="Q6" s="125" t="s">
        <v>34</v>
      </c>
      <c r="R6" s="125" t="s">
        <v>35</v>
      </c>
      <c r="S6" s="125" t="s">
        <v>36</v>
      </c>
      <c r="U6" s="125" t="s">
        <v>32</v>
      </c>
      <c r="V6" s="125" t="s">
        <v>33</v>
      </c>
      <c r="W6" s="125" t="s">
        <v>34</v>
      </c>
      <c r="X6" s="125" t="s">
        <v>35</v>
      </c>
      <c r="Y6" s="125" t="s">
        <v>36</v>
      </c>
      <c r="AA6" s="125" t="s">
        <v>32</v>
      </c>
      <c r="AB6" s="125" t="s">
        <v>33</v>
      </c>
      <c r="AC6" s="125" t="s">
        <v>34</v>
      </c>
      <c r="AD6" s="125" t="s">
        <v>35</v>
      </c>
      <c r="AE6" s="125" t="s">
        <v>36</v>
      </c>
      <c r="AG6" s="125" t="s">
        <v>32</v>
      </c>
      <c r="AH6" s="125" t="s">
        <v>33</v>
      </c>
      <c r="AI6" s="125" t="s">
        <v>34</v>
      </c>
      <c r="AJ6" s="125" t="s">
        <v>35</v>
      </c>
      <c r="AK6" s="125" t="s">
        <v>36</v>
      </c>
      <c r="AL6" s="125" t="s">
        <v>37</v>
      </c>
      <c r="AM6" s="125" t="s">
        <v>38</v>
      </c>
      <c r="AO6" s="125" t="s">
        <v>32</v>
      </c>
      <c r="AP6" s="125" t="s">
        <v>33</v>
      </c>
      <c r="AQ6" s="125" t="s">
        <v>34</v>
      </c>
      <c r="AR6" s="125" t="s">
        <v>35</v>
      </c>
      <c r="AS6" s="125" t="s">
        <v>36</v>
      </c>
      <c r="AT6" s="125" t="s">
        <v>37</v>
      </c>
      <c r="AU6" s="125" t="s">
        <v>38</v>
      </c>
    </row>
    <row r="7" spans="2:47">
      <c r="C7" s="126"/>
      <c r="D7" s="126" t="s">
        <v>254</v>
      </c>
      <c r="E7" s="331">
        <v>0.01</v>
      </c>
      <c r="F7" s="331">
        <v>0.05</v>
      </c>
      <c r="G7" s="128">
        <f t="shared" ref="G7:G20" si="0">SUM(E7:F7)</f>
        <v>6.0000000000000005E-2</v>
      </c>
      <c r="I7" s="126" t="s">
        <v>41</v>
      </c>
      <c r="J7" s="126" t="s">
        <v>254</v>
      </c>
      <c r="K7" s="127">
        <v>0.05</v>
      </c>
      <c r="L7" s="127">
        <v>0.1</v>
      </c>
      <c r="M7" s="128">
        <f t="shared" ref="M7:M20" si="1">SUM(K7:L7)</f>
        <v>0.15000000000000002</v>
      </c>
      <c r="O7" s="126" t="s">
        <v>39</v>
      </c>
      <c r="P7" s="126" t="s">
        <v>89</v>
      </c>
      <c r="Q7" s="127">
        <v>0.05</v>
      </c>
      <c r="R7" s="127">
        <v>0.02</v>
      </c>
      <c r="S7" s="128">
        <f t="shared" ref="S7:S12" si="2">SUM(Q7:R7)</f>
        <v>7.0000000000000007E-2</v>
      </c>
      <c r="U7" s="126" t="s">
        <v>39</v>
      </c>
      <c r="V7" s="126" t="s">
        <v>89</v>
      </c>
      <c r="W7" s="127">
        <v>0.1</v>
      </c>
      <c r="X7" s="127">
        <v>0.2</v>
      </c>
      <c r="Y7" s="128">
        <f t="shared" ref="Y7:Y20" si="3">SUM(W7:X7)</f>
        <v>0.30000000000000004</v>
      </c>
      <c r="AA7" s="126" t="s">
        <v>39</v>
      </c>
      <c r="AB7" s="126" t="s">
        <v>89</v>
      </c>
      <c r="AC7" s="127">
        <v>0.6</v>
      </c>
      <c r="AD7" s="127">
        <v>0.2</v>
      </c>
      <c r="AE7" s="128">
        <v>0.8</v>
      </c>
      <c r="AG7" s="126" t="s">
        <v>39</v>
      </c>
      <c r="AH7" s="126" t="s">
        <v>40</v>
      </c>
      <c r="AI7" s="128">
        <v>0.4</v>
      </c>
      <c r="AJ7" s="128">
        <v>0.4</v>
      </c>
      <c r="AK7" s="128">
        <f t="shared" ref="AK7:AK19" si="4">SUM(AI7:AJ7)</f>
        <v>0.8</v>
      </c>
      <c r="AL7" s="126"/>
      <c r="AM7" s="126"/>
      <c r="AO7" s="126" t="s">
        <v>39</v>
      </c>
      <c r="AP7" s="126" t="s">
        <v>40</v>
      </c>
      <c r="AQ7" s="128">
        <v>0.2</v>
      </c>
      <c r="AR7" s="128">
        <v>0.1</v>
      </c>
      <c r="AS7" s="128">
        <f t="shared" ref="AS7:AS17" si="5">SUM(AQ7:AR7)</f>
        <v>0.30000000000000004</v>
      </c>
      <c r="AT7" s="126"/>
      <c r="AU7" s="126"/>
    </row>
    <row r="8" spans="2:47">
      <c r="C8" s="126" t="s">
        <v>43</v>
      </c>
      <c r="D8" s="126" t="s">
        <v>191</v>
      </c>
      <c r="E8" s="331">
        <v>0.03</v>
      </c>
      <c r="F8" s="331">
        <v>0.1</v>
      </c>
      <c r="G8" s="128">
        <f t="shared" si="0"/>
        <v>0.13</v>
      </c>
      <c r="I8" s="126" t="s">
        <v>43</v>
      </c>
      <c r="J8" s="126" t="s">
        <v>255</v>
      </c>
      <c r="K8" s="127">
        <v>0.15</v>
      </c>
      <c r="L8" s="127">
        <v>0.1</v>
      </c>
      <c r="M8" s="128">
        <f t="shared" si="1"/>
        <v>0.25</v>
      </c>
      <c r="O8" s="126" t="s">
        <v>41</v>
      </c>
      <c r="P8" s="126" t="s">
        <v>42</v>
      </c>
      <c r="Q8" s="127">
        <v>0.1</v>
      </c>
      <c r="R8" s="127">
        <v>0.25</v>
      </c>
      <c r="S8" s="128">
        <f t="shared" si="2"/>
        <v>0.35</v>
      </c>
      <c r="U8" s="126" t="s">
        <v>41</v>
      </c>
      <c r="V8" s="126" t="s">
        <v>42</v>
      </c>
      <c r="W8" s="127">
        <v>0.1</v>
      </c>
      <c r="X8" s="127">
        <v>0.25</v>
      </c>
      <c r="Y8" s="128">
        <f t="shared" si="3"/>
        <v>0.35</v>
      </c>
      <c r="AA8" s="126" t="s">
        <v>41</v>
      </c>
      <c r="AB8" s="126" t="s">
        <v>42</v>
      </c>
      <c r="AC8" s="127">
        <v>0.2</v>
      </c>
      <c r="AD8" s="127">
        <v>0.25</v>
      </c>
      <c r="AE8" s="128">
        <v>0.45</v>
      </c>
      <c r="AG8" s="126" t="s">
        <v>41</v>
      </c>
      <c r="AH8" s="126" t="s">
        <v>42</v>
      </c>
      <c r="AI8" s="128">
        <v>0.3</v>
      </c>
      <c r="AJ8" s="128">
        <v>0.2</v>
      </c>
      <c r="AK8" s="128">
        <f t="shared" si="4"/>
        <v>0.5</v>
      </c>
      <c r="AL8" s="126"/>
      <c r="AM8" s="126"/>
      <c r="AO8" s="126" t="s">
        <v>41</v>
      </c>
      <c r="AP8" s="126" t="s">
        <v>42</v>
      </c>
      <c r="AQ8" s="128">
        <v>0.15</v>
      </c>
      <c r="AR8" s="128">
        <v>0.25</v>
      </c>
      <c r="AS8" s="128">
        <f t="shared" si="5"/>
        <v>0.4</v>
      </c>
      <c r="AT8" s="126"/>
      <c r="AU8" s="126"/>
    </row>
    <row r="9" spans="2:47">
      <c r="C9" s="129" t="s">
        <v>45</v>
      </c>
      <c r="D9" s="129" t="s">
        <v>46</v>
      </c>
      <c r="E9" s="330">
        <v>0</v>
      </c>
      <c r="F9" s="331">
        <v>0.01</v>
      </c>
      <c r="G9" s="130">
        <f t="shared" si="0"/>
        <v>0.01</v>
      </c>
      <c r="I9" s="129" t="s">
        <v>45</v>
      </c>
      <c r="J9" s="129" t="s">
        <v>46</v>
      </c>
      <c r="K9" s="130">
        <v>0</v>
      </c>
      <c r="L9" s="128">
        <v>0.02</v>
      </c>
      <c r="M9" s="130">
        <f t="shared" si="1"/>
        <v>0.02</v>
      </c>
      <c r="O9" s="126" t="s">
        <v>43</v>
      </c>
      <c r="P9" s="126" t="s">
        <v>191</v>
      </c>
      <c r="Q9" s="127">
        <v>0.15</v>
      </c>
      <c r="R9" s="127">
        <v>0.25</v>
      </c>
      <c r="S9" s="128">
        <f t="shared" si="2"/>
        <v>0.4</v>
      </c>
      <c r="U9" s="126" t="s">
        <v>43</v>
      </c>
      <c r="V9" s="126" t="s">
        <v>44</v>
      </c>
      <c r="W9" s="127">
        <v>0.15</v>
      </c>
      <c r="X9" s="127">
        <v>0.25</v>
      </c>
      <c r="Y9" s="128">
        <f t="shared" si="3"/>
        <v>0.4</v>
      </c>
      <c r="AA9" s="126" t="s">
        <v>43</v>
      </c>
      <c r="AB9" s="126" t="s">
        <v>44</v>
      </c>
      <c r="AC9" s="127">
        <v>0.254</v>
      </c>
      <c r="AD9" s="127">
        <v>0.35</v>
      </c>
      <c r="AE9" s="128">
        <v>0.60399999999999998</v>
      </c>
      <c r="AG9" s="126" t="s">
        <v>43</v>
      </c>
      <c r="AH9" s="126" t="s">
        <v>44</v>
      </c>
      <c r="AI9" s="128">
        <v>0.33</v>
      </c>
      <c r="AJ9" s="128">
        <v>0.33</v>
      </c>
      <c r="AK9" s="128">
        <f t="shared" si="4"/>
        <v>0.66</v>
      </c>
      <c r="AL9" s="126"/>
      <c r="AM9" s="126"/>
      <c r="AO9" s="126" t="s">
        <v>43</v>
      </c>
      <c r="AP9" s="126" t="s">
        <v>44</v>
      </c>
      <c r="AQ9" s="128">
        <v>0.15</v>
      </c>
      <c r="AR9" s="128">
        <v>0.15</v>
      </c>
      <c r="AS9" s="128">
        <f t="shared" si="5"/>
        <v>0.3</v>
      </c>
      <c r="AT9" s="126"/>
      <c r="AU9" s="126"/>
    </row>
    <row r="10" spans="2:47">
      <c r="C10" s="129" t="s">
        <v>169</v>
      </c>
      <c r="D10" s="126" t="s">
        <v>0</v>
      </c>
      <c r="E10" s="330">
        <v>0</v>
      </c>
      <c r="F10" s="331">
        <v>0.01</v>
      </c>
      <c r="G10" s="130">
        <f t="shared" si="0"/>
        <v>0.01</v>
      </c>
      <c r="I10" s="129" t="s">
        <v>169</v>
      </c>
      <c r="J10" s="126" t="s">
        <v>0</v>
      </c>
      <c r="K10" s="130">
        <v>0</v>
      </c>
      <c r="L10" s="128">
        <v>0.02</v>
      </c>
      <c r="M10" s="130">
        <f t="shared" si="1"/>
        <v>0.02</v>
      </c>
      <c r="O10" s="129" t="s">
        <v>45</v>
      </c>
      <c r="P10" s="129" t="s">
        <v>46</v>
      </c>
      <c r="Q10" s="130">
        <v>0</v>
      </c>
      <c r="R10" s="128">
        <v>0.02</v>
      </c>
      <c r="S10" s="130">
        <f t="shared" si="2"/>
        <v>0.02</v>
      </c>
      <c r="U10" s="129" t="s">
        <v>45</v>
      </c>
      <c r="V10" s="129" t="s">
        <v>46</v>
      </c>
      <c r="W10" s="130">
        <v>0</v>
      </c>
      <c r="X10" s="128">
        <v>0.02</v>
      </c>
      <c r="Y10" s="130">
        <f t="shared" si="3"/>
        <v>0.02</v>
      </c>
      <c r="AA10" s="129" t="s">
        <v>45</v>
      </c>
      <c r="AB10" s="129" t="s">
        <v>46</v>
      </c>
      <c r="AC10" s="130">
        <v>0</v>
      </c>
      <c r="AD10" s="128">
        <v>0.01</v>
      </c>
      <c r="AE10" s="130">
        <v>0.01</v>
      </c>
      <c r="AG10" s="129" t="s">
        <v>45</v>
      </c>
      <c r="AH10" s="129" t="s">
        <v>46</v>
      </c>
      <c r="AI10" s="130">
        <v>0</v>
      </c>
      <c r="AJ10" s="128">
        <v>0.01</v>
      </c>
      <c r="AK10" s="130">
        <f t="shared" si="4"/>
        <v>0.01</v>
      </c>
      <c r="AL10" s="126"/>
      <c r="AM10" s="126"/>
      <c r="AO10" s="129" t="s">
        <v>45</v>
      </c>
      <c r="AP10" s="129" t="s">
        <v>46</v>
      </c>
      <c r="AQ10" s="130">
        <v>0</v>
      </c>
      <c r="AR10" s="128">
        <v>0.02</v>
      </c>
      <c r="AS10" s="130">
        <f t="shared" si="5"/>
        <v>0.02</v>
      </c>
      <c r="AT10" s="126"/>
      <c r="AU10" s="126"/>
    </row>
    <row r="11" spans="2:47">
      <c r="C11" s="129" t="s">
        <v>253</v>
      </c>
      <c r="D11" s="126" t="s">
        <v>307</v>
      </c>
      <c r="E11" s="330">
        <v>0</v>
      </c>
      <c r="F11" s="331">
        <v>7.0000000000000007E-2</v>
      </c>
      <c r="G11" s="130">
        <f t="shared" si="0"/>
        <v>7.0000000000000007E-2</v>
      </c>
      <c r="I11" s="129" t="s">
        <v>253</v>
      </c>
      <c r="J11" s="126"/>
      <c r="K11" s="130">
        <v>0</v>
      </c>
      <c r="L11" s="128">
        <v>0.1</v>
      </c>
      <c r="M11" s="130">
        <f t="shared" si="1"/>
        <v>0.1</v>
      </c>
      <c r="O11" s="129" t="s">
        <v>169</v>
      </c>
      <c r="P11" s="126" t="s">
        <v>0</v>
      </c>
      <c r="Q11" s="130">
        <v>0</v>
      </c>
      <c r="R11" s="128">
        <v>0.02</v>
      </c>
      <c r="S11" s="130">
        <f t="shared" si="2"/>
        <v>0.02</v>
      </c>
      <c r="U11" s="129" t="s">
        <v>169</v>
      </c>
      <c r="V11" s="126" t="s">
        <v>0</v>
      </c>
      <c r="W11" s="130">
        <v>0</v>
      </c>
      <c r="X11" s="128">
        <v>0.02</v>
      </c>
      <c r="Y11" s="130">
        <f t="shared" si="3"/>
        <v>0.02</v>
      </c>
      <c r="AA11" s="129" t="s">
        <v>169</v>
      </c>
      <c r="AB11" s="126" t="s">
        <v>0</v>
      </c>
      <c r="AC11" s="130">
        <v>0</v>
      </c>
      <c r="AD11" s="128">
        <v>0.01</v>
      </c>
      <c r="AE11" s="130">
        <v>0.01</v>
      </c>
      <c r="AG11" s="129" t="s">
        <v>47</v>
      </c>
      <c r="AH11" s="126" t="s">
        <v>0</v>
      </c>
      <c r="AI11" s="130">
        <v>0</v>
      </c>
      <c r="AJ11" s="128">
        <v>0.01</v>
      </c>
      <c r="AK11" s="130">
        <f t="shared" si="4"/>
        <v>0.01</v>
      </c>
      <c r="AL11" s="126"/>
      <c r="AM11" s="126"/>
      <c r="AO11" s="129" t="s">
        <v>1</v>
      </c>
      <c r="AP11" s="126" t="s">
        <v>0</v>
      </c>
      <c r="AQ11" s="130">
        <v>0</v>
      </c>
      <c r="AR11" s="128">
        <v>0.05</v>
      </c>
      <c r="AS11" s="130">
        <f t="shared" si="5"/>
        <v>0.05</v>
      </c>
      <c r="AT11" s="126"/>
      <c r="AU11" s="126"/>
    </row>
    <row r="12" spans="2:47">
      <c r="C12" s="129" t="s">
        <v>308</v>
      </c>
      <c r="D12" s="126" t="s">
        <v>307</v>
      </c>
      <c r="E12" s="330">
        <v>0</v>
      </c>
      <c r="F12" s="331">
        <v>7.0000000000000007E-2</v>
      </c>
      <c r="G12" s="130">
        <f t="shared" si="0"/>
        <v>7.0000000000000007E-2</v>
      </c>
      <c r="I12" s="129" t="s">
        <v>265</v>
      </c>
      <c r="J12" s="126"/>
      <c r="K12" s="130">
        <v>0</v>
      </c>
      <c r="L12" s="128">
        <v>0.1</v>
      </c>
      <c r="M12" s="130">
        <f t="shared" si="1"/>
        <v>0.1</v>
      </c>
      <c r="O12" s="129" t="s">
        <v>192</v>
      </c>
      <c r="P12" s="126" t="s">
        <v>3</v>
      </c>
      <c r="Q12" s="130">
        <v>0.5</v>
      </c>
      <c r="R12" s="128">
        <v>0</v>
      </c>
      <c r="S12" s="130">
        <f t="shared" si="2"/>
        <v>0.5</v>
      </c>
      <c r="U12" s="129" t="s">
        <v>192</v>
      </c>
      <c r="V12" s="126" t="s">
        <v>3</v>
      </c>
      <c r="W12" s="130">
        <v>0.1</v>
      </c>
      <c r="X12" s="128">
        <v>0</v>
      </c>
      <c r="Y12" s="130">
        <f t="shared" si="3"/>
        <v>0.1</v>
      </c>
      <c r="AA12" s="129" t="s">
        <v>192</v>
      </c>
      <c r="AB12" s="126" t="s">
        <v>3</v>
      </c>
      <c r="AC12" s="130">
        <v>0.04</v>
      </c>
      <c r="AD12" s="128">
        <v>0</v>
      </c>
      <c r="AE12" s="130">
        <v>0.04</v>
      </c>
      <c r="AG12" s="129" t="s">
        <v>2</v>
      </c>
      <c r="AH12" s="126" t="s">
        <v>3</v>
      </c>
      <c r="AI12" s="130">
        <v>0.04</v>
      </c>
      <c r="AJ12" s="128">
        <v>0</v>
      </c>
      <c r="AK12" s="130">
        <f t="shared" si="4"/>
        <v>0.04</v>
      </c>
      <c r="AL12" s="126"/>
      <c r="AM12" s="126"/>
      <c r="AO12" s="129" t="s">
        <v>136</v>
      </c>
      <c r="AP12" s="126" t="s">
        <v>4</v>
      </c>
      <c r="AQ12" s="130">
        <v>0</v>
      </c>
      <c r="AR12" s="128">
        <v>0.02</v>
      </c>
      <c r="AS12" s="130">
        <f t="shared" si="5"/>
        <v>0.02</v>
      </c>
      <c r="AT12" s="126"/>
      <c r="AU12" s="126"/>
    </row>
    <row r="13" spans="2:47">
      <c r="C13" s="129" t="s">
        <v>192</v>
      </c>
      <c r="D13" s="126" t="s">
        <v>3</v>
      </c>
      <c r="E13" s="330">
        <v>0.4</v>
      </c>
      <c r="F13" s="331">
        <v>0</v>
      </c>
      <c r="G13" s="130">
        <f t="shared" si="0"/>
        <v>0.4</v>
      </c>
      <c r="I13" s="129" t="s">
        <v>192</v>
      </c>
      <c r="J13" s="126" t="s">
        <v>3</v>
      </c>
      <c r="K13" s="130">
        <v>0.5</v>
      </c>
      <c r="L13" s="128">
        <v>0</v>
      </c>
      <c r="M13" s="130">
        <f t="shared" si="1"/>
        <v>0.5</v>
      </c>
      <c r="O13" s="129" t="s">
        <v>7</v>
      </c>
      <c r="P13" s="126" t="s">
        <v>137</v>
      </c>
      <c r="Q13" s="130">
        <v>0.05</v>
      </c>
      <c r="R13" s="128">
        <v>0</v>
      </c>
      <c r="S13" s="130">
        <f t="shared" ref="S13:S18" si="6">SUM(Q13:R13)</f>
        <v>0.05</v>
      </c>
      <c r="U13" s="129" t="s">
        <v>136</v>
      </c>
      <c r="V13" s="126" t="s">
        <v>4</v>
      </c>
      <c r="W13" s="130">
        <v>0</v>
      </c>
      <c r="X13" s="128">
        <v>0.02</v>
      </c>
      <c r="Y13" s="130">
        <f t="shared" si="3"/>
        <v>0.02</v>
      </c>
      <c r="AA13" s="129" t="s">
        <v>136</v>
      </c>
      <c r="AB13" s="126" t="s">
        <v>4</v>
      </c>
      <c r="AC13" s="130">
        <v>0</v>
      </c>
      <c r="AD13" s="128">
        <v>0.02</v>
      </c>
      <c r="AE13" s="130">
        <v>0.02</v>
      </c>
      <c r="AG13" s="129" t="s">
        <v>136</v>
      </c>
      <c r="AH13" s="126" t="s">
        <v>4</v>
      </c>
      <c r="AI13" s="130">
        <v>0</v>
      </c>
      <c r="AJ13" s="128">
        <v>0.02</v>
      </c>
      <c r="AK13" s="130">
        <f t="shared" si="4"/>
        <v>0.02</v>
      </c>
      <c r="AL13" s="126"/>
      <c r="AM13" s="126"/>
      <c r="AO13" s="126" t="s">
        <v>5</v>
      </c>
      <c r="AP13" s="126" t="s">
        <v>6</v>
      </c>
      <c r="AQ13" s="128">
        <v>0.05</v>
      </c>
      <c r="AR13" s="128">
        <v>0</v>
      </c>
      <c r="AS13" s="128">
        <f t="shared" si="5"/>
        <v>0.05</v>
      </c>
      <c r="AT13" s="126"/>
      <c r="AU13" s="126"/>
    </row>
    <row r="14" spans="2:47">
      <c r="C14" s="129" t="s">
        <v>266</v>
      </c>
      <c r="D14" s="126" t="s">
        <v>260</v>
      </c>
      <c r="E14" s="330">
        <v>0.05</v>
      </c>
      <c r="F14" s="331">
        <v>0</v>
      </c>
      <c r="G14" s="130">
        <f t="shared" si="0"/>
        <v>0.05</v>
      </c>
      <c r="I14" s="129" t="s">
        <v>266</v>
      </c>
      <c r="J14" s="126" t="s">
        <v>260</v>
      </c>
      <c r="K14" s="130">
        <v>0.15</v>
      </c>
      <c r="L14" s="128">
        <v>0</v>
      </c>
      <c r="M14" s="130">
        <f t="shared" si="1"/>
        <v>0.15</v>
      </c>
      <c r="O14" s="126" t="s">
        <v>5</v>
      </c>
      <c r="P14" s="126" t="s">
        <v>6</v>
      </c>
      <c r="Q14" s="128">
        <v>0.1</v>
      </c>
      <c r="R14" s="128">
        <v>0</v>
      </c>
      <c r="S14" s="128">
        <f t="shared" si="6"/>
        <v>0.1</v>
      </c>
      <c r="U14" s="129" t="s">
        <v>7</v>
      </c>
      <c r="V14" s="126" t="s">
        <v>137</v>
      </c>
      <c r="W14" s="130">
        <v>0.05</v>
      </c>
      <c r="X14" s="128">
        <v>0</v>
      </c>
      <c r="Y14" s="130">
        <f t="shared" si="3"/>
        <v>0.05</v>
      </c>
      <c r="AA14" s="129" t="s">
        <v>7</v>
      </c>
      <c r="AB14" s="126" t="s">
        <v>137</v>
      </c>
      <c r="AC14" s="130">
        <v>0.05</v>
      </c>
      <c r="AD14" s="128">
        <v>0</v>
      </c>
      <c r="AE14" s="130">
        <v>0.05</v>
      </c>
      <c r="AG14" s="129" t="s">
        <v>7</v>
      </c>
      <c r="AH14" s="126" t="s">
        <v>137</v>
      </c>
      <c r="AI14" s="130">
        <v>0.05</v>
      </c>
      <c r="AJ14" s="128">
        <v>0</v>
      </c>
      <c r="AK14" s="130">
        <f t="shared" si="4"/>
        <v>0.05</v>
      </c>
      <c r="AL14" s="126"/>
      <c r="AM14" s="126"/>
      <c r="AO14" s="126" t="s">
        <v>8</v>
      </c>
      <c r="AP14" s="126" t="s">
        <v>9</v>
      </c>
      <c r="AQ14" s="128">
        <v>0.1</v>
      </c>
      <c r="AR14" s="128">
        <v>0</v>
      </c>
      <c r="AS14" s="128">
        <f t="shared" si="5"/>
        <v>0.1</v>
      </c>
      <c r="AT14" s="126"/>
      <c r="AU14" s="126"/>
    </row>
    <row r="15" spans="2:47">
      <c r="C15" s="129" t="s">
        <v>7</v>
      </c>
      <c r="D15" s="126" t="s">
        <v>137</v>
      </c>
      <c r="E15" s="330">
        <v>0.01</v>
      </c>
      <c r="F15" s="331">
        <v>0</v>
      </c>
      <c r="G15" s="130">
        <f t="shared" si="0"/>
        <v>0.01</v>
      </c>
      <c r="I15" s="129" t="s">
        <v>7</v>
      </c>
      <c r="J15" s="126" t="s">
        <v>137</v>
      </c>
      <c r="K15" s="130">
        <v>0.05</v>
      </c>
      <c r="L15" s="128">
        <v>0</v>
      </c>
      <c r="M15" s="130">
        <f t="shared" si="1"/>
        <v>0.05</v>
      </c>
      <c r="O15" s="126" t="s">
        <v>12</v>
      </c>
      <c r="P15" s="126" t="s">
        <v>9</v>
      </c>
      <c r="Q15" s="127">
        <v>0.1</v>
      </c>
      <c r="R15" s="127">
        <v>0</v>
      </c>
      <c r="S15" s="127">
        <f t="shared" si="6"/>
        <v>0.1</v>
      </c>
      <c r="U15" s="126" t="s">
        <v>5</v>
      </c>
      <c r="V15" s="126" t="s">
        <v>6</v>
      </c>
      <c r="W15" s="128">
        <v>0.1</v>
      </c>
      <c r="X15" s="128">
        <v>0</v>
      </c>
      <c r="Y15" s="128">
        <f t="shared" si="3"/>
        <v>0.1</v>
      </c>
      <c r="AA15" s="126" t="s">
        <v>5</v>
      </c>
      <c r="AB15" s="126" t="s">
        <v>6</v>
      </c>
      <c r="AC15" s="128">
        <v>0.1</v>
      </c>
      <c r="AD15" s="128">
        <v>0</v>
      </c>
      <c r="AE15" s="128">
        <v>0.1</v>
      </c>
      <c r="AG15" s="126" t="s">
        <v>5</v>
      </c>
      <c r="AH15" s="126" t="s">
        <v>6</v>
      </c>
      <c r="AI15" s="128">
        <v>0.05</v>
      </c>
      <c r="AJ15" s="128">
        <v>0</v>
      </c>
      <c r="AK15" s="128">
        <f t="shared" si="4"/>
        <v>0.05</v>
      </c>
      <c r="AL15" s="126"/>
      <c r="AM15" s="126"/>
      <c r="AO15" s="126" t="s">
        <v>10</v>
      </c>
      <c r="AP15" s="126" t="s">
        <v>11</v>
      </c>
      <c r="AQ15" s="128">
        <v>0.01</v>
      </c>
      <c r="AR15" s="128">
        <v>0</v>
      </c>
      <c r="AS15" s="128">
        <f t="shared" si="5"/>
        <v>0.01</v>
      </c>
      <c r="AT15" s="126"/>
      <c r="AU15" s="126"/>
    </row>
    <row r="16" spans="2:47">
      <c r="C16" s="126" t="s">
        <v>5</v>
      </c>
      <c r="D16" s="126" t="s">
        <v>6</v>
      </c>
      <c r="E16" s="331">
        <v>0.05</v>
      </c>
      <c r="F16" s="331">
        <v>0</v>
      </c>
      <c r="G16" s="128">
        <f t="shared" si="0"/>
        <v>0.05</v>
      </c>
      <c r="I16" s="126" t="s">
        <v>5</v>
      </c>
      <c r="J16" s="126" t="s">
        <v>6</v>
      </c>
      <c r="K16" s="128">
        <v>7.0000000000000007E-2</v>
      </c>
      <c r="L16" s="128">
        <v>0</v>
      </c>
      <c r="M16" s="128">
        <f t="shared" si="1"/>
        <v>7.0000000000000007E-2</v>
      </c>
      <c r="O16" s="126" t="s">
        <v>10</v>
      </c>
      <c r="P16" s="126" t="s">
        <v>15</v>
      </c>
      <c r="Q16" s="127">
        <v>7.0000000000000007E-2</v>
      </c>
      <c r="R16" s="127">
        <v>0</v>
      </c>
      <c r="S16" s="127">
        <f t="shared" si="6"/>
        <v>7.0000000000000007E-2</v>
      </c>
      <c r="U16" s="126" t="s">
        <v>12</v>
      </c>
      <c r="V16" s="126" t="s">
        <v>9</v>
      </c>
      <c r="W16" s="127">
        <v>0.1</v>
      </c>
      <c r="X16" s="127">
        <v>0</v>
      </c>
      <c r="Y16" s="127">
        <f t="shared" si="3"/>
        <v>0.1</v>
      </c>
      <c r="AA16" s="126" t="s">
        <v>12</v>
      </c>
      <c r="AB16" s="126" t="s">
        <v>9</v>
      </c>
      <c r="AC16" s="127">
        <v>0.12</v>
      </c>
      <c r="AD16" s="127">
        <v>0</v>
      </c>
      <c r="AE16" s="127">
        <v>0.12</v>
      </c>
      <c r="AG16" s="126" t="s">
        <v>12</v>
      </c>
      <c r="AH16" s="126" t="s">
        <v>9</v>
      </c>
      <c r="AI16" s="127">
        <v>0.15</v>
      </c>
      <c r="AJ16" s="127">
        <v>0</v>
      </c>
      <c r="AK16" s="127">
        <f t="shared" si="4"/>
        <v>0.15</v>
      </c>
      <c r="AL16" s="126"/>
      <c r="AM16" s="126"/>
      <c r="AO16" s="126" t="s">
        <v>13</v>
      </c>
      <c r="AP16" s="126" t="s">
        <v>14</v>
      </c>
      <c r="AQ16" s="128">
        <v>0.01</v>
      </c>
      <c r="AR16" s="128">
        <v>0</v>
      </c>
      <c r="AS16" s="128">
        <f t="shared" si="5"/>
        <v>0.01</v>
      </c>
      <c r="AT16" s="126"/>
      <c r="AU16" s="126"/>
    </row>
    <row r="17" spans="3:47">
      <c r="C17" s="126" t="s">
        <v>12</v>
      </c>
      <c r="D17" s="126" t="s">
        <v>9</v>
      </c>
      <c r="E17" s="331">
        <v>0.05</v>
      </c>
      <c r="F17" s="331">
        <v>0</v>
      </c>
      <c r="G17" s="127">
        <f t="shared" si="0"/>
        <v>0.05</v>
      </c>
      <c r="I17" s="126" t="s">
        <v>12</v>
      </c>
      <c r="J17" s="126" t="s">
        <v>9</v>
      </c>
      <c r="K17" s="127">
        <v>0.1</v>
      </c>
      <c r="L17" s="127">
        <v>0</v>
      </c>
      <c r="M17" s="127">
        <f t="shared" si="1"/>
        <v>0.1</v>
      </c>
      <c r="O17" s="126" t="s">
        <v>170</v>
      </c>
      <c r="P17" s="126" t="s">
        <v>17</v>
      </c>
      <c r="Q17" s="127">
        <v>0.05</v>
      </c>
      <c r="R17" s="127">
        <v>0</v>
      </c>
      <c r="S17" s="127">
        <f t="shared" si="6"/>
        <v>0.05</v>
      </c>
      <c r="U17" s="126" t="s">
        <v>10</v>
      </c>
      <c r="V17" s="126" t="s">
        <v>15</v>
      </c>
      <c r="W17" s="127">
        <v>7.0000000000000007E-2</v>
      </c>
      <c r="X17" s="127">
        <v>0</v>
      </c>
      <c r="Y17" s="127">
        <f t="shared" si="3"/>
        <v>7.0000000000000007E-2</v>
      </c>
      <c r="AA17" s="126" t="s">
        <v>10</v>
      </c>
      <c r="AB17" s="126" t="s">
        <v>15</v>
      </c>
      <c r="AC17" s="127">
        <v>7.0000000000000007E-2</v>
      </c>
      <c r="AD17" s="127">
        <v>0</v>
      </c>
      <c r="AE17" s="127">
        <v>7.0000000000000007E-2</v>
      </c>
      <c r="AG17" s="126" t="s">
        <v>10</v>
      </c>
      <c r="AH17" s="126" t="s">
        <v>15</v>
      </c>
      <c r="AI17" s="127">
        <v>7.0000000000000007E-2</v>
      </c>
      <c r="AJ17" s="127">
        <v>0</v>
      </c>
      <c r="AK17" s="127">
        <f t="shared" si="4"/>
        <v>7.0000000000000007E-2</v>
      </c>
      <c r="AL17" s="126"/>
      <c r="AM17" s="126"/>
      <c r="AO17" s="126" t="s">
        <v>16</v>
      </c>
      <c r="AP17" s="126" t="s">
        <v>65</v>
      </c>
      <c r="AQ17" s="128">
        <v>0.02</v>
      </c>
      <c r="AR17" s="128">
        <v>0</v>
      </c>
      <c r="AS17" s="128">
        <f t="shared" si="5"/>
        <v>0.02</v>
      </c>
      <c r="AT17" s="126"/>
      <c r="AU17" s="126"/>
    </row>
    <row r="18" spans="3:47">
      <c r="C18" s="126" t="s">
        <v>10</v>
      </c>
      <c r="D18" s="126" t="s">
        <v>15</v>
      </c>
      <c r="E18" s="331">
        <v>0.05</v>
      </c>
      <c r="F18" s="331">
        <v>0</v>
      </c>
      <c r="G18" s="127">
        <f t="shared" si="0"/>
        <v>0.05</v>
      </c>
      <c r="I18" s="126" t="s">
        <v>10</v>
      </c>
      <c r="J18" s="126" t="s">
        <v>15</v>
      </c>
      <c r="K18" s="127">
        <v>0.05</v>
      </c>
      <c r="L18" s="127">
        <v>0</v>
      </c>
      <c r="M18" s="127">
        <f t="shared" si="1"/>
        <v>0.05</v>
      </c>
      <c r="O18" s="126" t="s">
        <v>16</v>
      </c>
      <c r="P18" s="126" t="s">
        <v>65</v>
      </c>
      <c r="Q18" s="127">
        <v>0.04</v>
      </c>
      <c r="R18" s="127">
        <v>0</v>
      </c>
      <c r="S18" s="127">
        <f t="shared" si="6"/>
        <v>0.04</v>
      </c>
      <c r="U18" s="126" t="s">
        <v>170</v>
      </c>
      <c r="V18" s="126" t="s">
        <v>17</v>
      </c>
      <c r="W18" s="127">
        <v>0.05</v>
      </c>
      <c r="X18" s="127">
        <v>0</v>
      </c>
      <c r="Y18" s="127">
        <f t="shared" si="3"/>
        <v>0.05</v>
      </c>
      <c r="AA18" s="126" t="s">
        <v>170</v>
      </c>
      <c r="AB18" s="126" t="s">
        <v>17</v>
      </c>
      <c r="AC18" s="127">
        <v>0.05</v>
      </c>
      <c r="AD18" s="127">
        <v>0</v>
      </c>
      <c r="AE18" s="127">
        <v>0.05</v>
      </c>
      <c r="AG18" s="126" t="s">
        <v>13</v>
      </c>
      <c r="AH18" s="126" t="s">
        <v>17</v>
      </c>
      <c r="AI18" s="127">
        <v>0.09</v>
      </c>
      <c r="AJ18" s="127">
        <v>0</v>
      </c>
      <c r="AK18" s="127">
        <f t="shared" si="4"/>
        <v>0.09</v>
      </c>
      <c r="AL18" s="126"/>
      <c r="AM18" s="126"/>
    </row>
    <row r="19" spans="3:47">
      <c r="C19" s="126" t="s">
        <v>16</v>
      </c>
      <c r="D19" s="126" t="s">
        <v>65</v>
      </c>
      <c r="E19" s="331">
        <v>0.01</v>
      </c>
      <c r="F19" s="331">
        <v>0</v>
      </c>
      <c r="G19" s="127">
        <f t="shared" si="0"/>
        <v>0.01</v>
      </c>
      <c r="I19" s="126" t="s">
        <v>16</v>
      </c>
      <c r="J19" s="126" t="s">
        <v>65</v>
      </c>
      <c r="K19" s="127">
        <v>0.05</v>
      </c>
      <c r="L19" s="127">
        <v>0</v>
      </c>
      <c r="M19" s="127">
        <f t="shared" si="1"/>
        <v>0.05</v>
      </c>
      <c r="O19" s="126" t="s">
        <v>209</v>
      </c>
      <c r="P19" s="126" t="s">
        <v>190</v>
      </c>
      <c r="Q19" s="127">
        <v>0.02</v>
      </c>
      <c r="R19" s="127">
        <v>0</v>
      </c>
      <c r="S19" s="127">
        <f t="shared" ref="S19" si="7">SUM(Q19:R19)</f>
        <v>0.02</v>
      </c>
      <c r="U19" s="126" t="s">
        <v>16</v>
      </c>
      <c r="V19" s="126" t="s">
        <v>65</v>
      </c>
      <c r="W19" s="127">
        <v>0.04</v>
      </c>
      <c r="X19" s="127">
        <v>0</v>
      </c>
      <c r="Y19" s="127">
        <f t="shared" si="3"/>
        <v>0.04</v>
      </c>
      <c r="AA19" s="126" t="s">
        <v>16</v>
      </c>
      <c r="AB19" s="126" t="s">
        <v>65</v>
      </c>
      <c r="AC19" s="127">
        <v>0.03</v>
      </c>
      <c r="AD19" s="127">
        <v>0</v>
      </c>
      <c r="AE19" s="127">
        <v>0.03</v>
      </c>
      <c r="AG19" s="126" t="s">
        <v>16</v>
      </c>
      <c r="AH19" s="126" t="s">
        <v>65</v>
      </c>
      <c r="AI19" s="127">
        <v>0.03</v>
      </c>
      <c r="AJ19" s="127">
        <v>0</v>
      </c>
      <c r="AK19" s="127">
        <f t="shared" si="4"/>
        <v>0.03</v>
      </c>
      <c r="AL19" s="126"/>
      <c r="AM19" s="126"/>
      <c r="AQ19" s="131">
        <f>SUM(AQ7:AQ17)</f>
        <v>0.69000000000000006</v>
      </c>
      <c r="AR19" s="131">
        <f>SUM(AR7:AR17)</f>
        <v>0.59000000000000008</v>
      </c>
      <c r="AS19" s="131">
        <f>SUM(AS7:AS17)</f>
        <v>1.2800000000000002</v>
      </c>
      <c r="AT19" s="132">
        <f>100000*1.4</f>
        <v>140000</v>
      </c>
      <c r="AU19" s="132">
        <f>AT19*AS19</f>
        <v>179200.00000000003</v>
      </c>
    </row>
    <row r="20" spans="3:47">
      <c r="C20" s="126" t="s">
        <v>209</v>
      </c>
      <c r="D20" s="126" t="s">
        <v>190</v>
      </c>
      <c r="E20" s="331">
        <v>0.01</v>
      </c>
      <c r="F20" s="331">
        <v>0</v>
      </c>
      <c r="G20" s="127">
        <f t="shared" si="0"/>
        <v>0.01</v>
      </c>
      <c r="I20" s="126" t="s">
        <v>209</v>
      </c>
      <c r="J20" s="126" t="s">
        <v>190</v>
      </c>
      <c r="K20" s="127">
        <v>0.05</v>
      </c>
      <c r="L20" s="127">
        <v>0</v>
      </c>
      <c r="M20" s="127">
        <f t="shared" si="1"/>
        <v>0.05</v>
      </c>
      <c r="O20" s="133"/>
      <c r="P20" s="133" t="s">
        <v>177</v>
      </c>
      <c r="Q20" s="134">
        <v>0.8</v>
      </c>
      <c r="R20" s="134">
        <v>0.2</v>
      </c>
      <c r="S20" s="134">
        <f>SUM(Q20:R20)</f>
        <v>1</v>
      </c>
      <c r="U20" s="133" t="s">
        <v>176</v>
      </c>
      <c r="V20" s="133" t="s">
        <v>177</v>
      </c>
      <c r="W20" s="134">
        <v>0.4</v>
      </c>
      <c r="X20" s="134">
        <v>0.6</v>
      </c>
      <c r="Y20" s="134">
        <f t="shared" si="3"/>
        <v>1</v>
      </c>
      <c r="AB20" s="135" t="s">
        <v>30</v>
      </c>
      <c r="AC20" s="136">
        <v>1.5140000000000005</v>
      </c>
      <c r="AD20" s="136">
        <v>0.84000000000000008</v>
      </c>
      <c r="AE20" s="136">
        <v>2.3539999999999996</v>
      </c>
      <c r="AH20" s="137" t="s">
        <v>30</v>
      </c>
      <c r="AI20" s="138">
        <f>SUM(AI7:AI19)</f>
        <v>1.5100000000000002</v>
      </c>
      <c r="AJ20" s="138">
        <f t="shared" ref="AJ20:AK20" si="8">SUM(AJ7:AJ19)</f>
        <v>0.9700000000000002</v>
      </c>
      <c r="AK20" s="138">
        <f t="shared" si="8"/>
        <v>2.4799999999999991</v>
      </c>
      <c r="AL20" s="139">
        <v>160000</v>
      </c>
      <c r="AM20" s="139">
        <f>AL20*AK20</f>
        <v>396799.99999999988</v>
      </c>
      <c r="AQ20" s="140">
        <f>AQ19/$AS$19</f>
        <v>0.53906249999999989</v>
      </c>
      <c r="AR20" s="140">
        <f>AR19/$AS$19</f>
        <v>0.4609375</v>
      </c>
    </row>
    <row r="21" spans="3:47">
      <c r="C21" s="133" t="s">
        <v>250</v>
      </c>
      <c r="D21" s="133" t="s">
        <v>177</v>
      </c>
      <c r="E21" s="134">
        <v>0.9</v>
      </c>
      <c r="F21" s="134">
        <v>0.1</v>
      </c>
      <c r="G21" s="134">
        <f>SUM(E21:F21)</f>
        <v>1</v>
      </c>
      <c r="I21" s="133" t="s">
        <v>250</v>
      </c>
      <c r="J21" s="133" t="s">
        <v>177</v>
      </c>
      <c r="K21" s="134">
        <v>0.9</v>
      </c>
      <c r="L21" s="134">
        <v>0.1</v>
      </c>
      <c r="M21" s="134">
        <f>SUM(K21:L21)</f>
        <v>1</v>
      </c>
      <c r="P21" s="141" t="s">
        <v>30</v>
      </c>
      <c r="Q21" s="136">
        <f>SUM(Q7:Q20)</f>
        <v>2.0300000000000002</v>
      </c>
      <c r="R21" s="136">
        <f>SUM(R7:R20)</f>
        <v>0.76</v>
      </c>
      <c r="S21" s="136">
        <f>SUM(S7:S20)</f>
        <v>2.7900000000000005</v>
      </c>
      <c r="V21" s="141" t="s">
        <v>30</v>
      </c>
      <c r="W21" s="136">
        <f>SUM(W7:W20)</f>
        <v>1.2600000000000002</v>
      </c>
      <c r="X21" s="136">
        <f>SUM(X7:X20)</f>
        <v>1.3599999999999999</v>
      </c>
      <c r="Y21" s="136">
        <f>SUM(Y7:Y20)</f>
        <v>2.6200000000000006</v>
      </c>
      <c r="AC21" s="119">
        <v>242240.00000000009</v>
      </c>
      <c r="AD21" s="119">
        <v>134400</v>
      </c>
      <c r="AE21" s="119">
        <v>376639.99999999994</v>
      </c>
      <c r="AI21" s="142">
        <f>AI20*$AL$20</f>
        <v>241600.00000000003</v>
      </c>
      <c r="AJ21" s="142">
        <f t="shared" ref="AJ21:AK21" si="9">AJ20*$AL$20</f>
        <v>155200.00000000003</v>
      </c>
      <c r="AK21" s="142">
        <f t="shared" si="9"/>
        <v>396799.99999999988</v>
      </c>
      <c r="AQ21" s="143">
        <f>AU19*AR20</f>
        <v>82600.000000000015</v>
      </c>
      <c r="AR21" s="143">
        <f>AU19*AQ20</f>
        <v>96600</v>
      </c>
    </row>
    <row r="22" spans="3:47" ht="15" customHeight="1">
      <c r="D22" s="141" t="s">
        <v>30</v>
      </c>
      <c r="E22" s="136">
        <f>SUM(E7:E21)</f>
        <v>1.5700000000000003</v>
      </c>
      <c r="F22" s="136">
        <f>SUM(F7:F21)</f>
        <v>0.41000000000000003</v>
      </c>
      <c r="G22" s="136">
        <f>SUM(G7:G21)</f>
        <v>1.9800000000000002</v>
      </c>
      <c r="J22" s="141" t="s">
        <v>30</v>
      </c>
      <c r="K22" s="136">
        <f>SUM(K7:K21)</f>
        <v>2.12</v>
      </c>
      <c r="L22" s="136">
        <f>SUM(L7:L21)</f>
        <v>0.53999999999999992</v>
      </c>
      <c r="M22" s="136">
        <f>SUM(M7:M21)</f>
        <v>2.66</v>
      </c>
      <c r="Q22" s="119">
        <f>Q21*$Q$2</f>
        <v>324800.00000000006</v>
      </c>
      <c r="R22" s="119">
        <f>R21*$Q$2</f>
        <v>121600</v>
      </c>
      <c r="S22" s="119">
        <f>S21*$Q$2</f>
        <v>446400.00000000006</v>
      </c>
      <c r="W22" s="119">
        <f>W21*$Q$2</f>
        <v>201600.00000000003</v>
      </c>
      <c r="X22" s="119">
        <f>X21*$Q$2</f>
        <v>217599.99999999997</v>
      </c>
      <c r="Y22" s="119">
        <f>Y21*$Q$2</f>
        <v>419200.00000000012</v>
      </c>
    </row>
    <row r="23" spans="3:47" ht="15" customHeight="1">
      <c r="E23" s="303"/>
      <c r="F23" s="303"/>
      <c r="G23" s="119">
        <f>G27+120000</f>
        <v>320624</v>
      </c>
      <c r="K23" s="303"/>
      <c r="L23" s="303"/>
      <c r="M23" s="119">
        <f>M27+120000</f>
        <v>320624</v>
      </c>
    </row>
    <row r="24" spans="3:47" ht="15" customHeight="1">
      <c r="E24" s="288"/>
      <c r="F24" s="288"/>
      <c r="G24" s="288"/>
      <c r="K24" s="288"/>
      <c r="L24" s="288"/>
      <c r="M24" s="288"/>
      <c r="P24" s="120" t="s">
        <v>188</v>
      </c>
      <c r="V24" s="120" t="s">
        <v>188</v>
      </c>
    </row>
    <row r="25" spans="3:47">
      <c r="D25" s="120" t="s">
        <v>188</v>
      </c>
      <c r="J25" s="120" t="s">
        <v>188</v>
      </c>
      <c r="P25" s="135" t="s">
        <v>30</v>
      </c>
      <c r="Q25" s="136">
        <f>SUM(Q7:Q19)</f>
        <v>1.2300000000000002</v>
      </c>
      <c r="R25" s="136">
        <f>SUM(R7:R19)</f>
        <v>0.56000000000000005</v>
      </c>
      <c r="S25" s="136">
        <f>SUM(S7:S19)</f>
        <v>1.7900000000000005</v>
      </c>
      <c r="V25" s="135" t="s">
        <v>30</v>
      </c>
      <c r="W25" s="136">
        <f>SUM(W7:W19)</f>
        <v>0.8600000000000001</v>
      </c>
      <c r="X25" s="136">
        <f t="shared" ref="X25:Y25" si="10">SUM(X7:X19)</f>
        <v>0.76</v>
      </c>
      <c r="Y25" s="136">
        <f t="shared" si="10"/>
        <v>1.6200000000000006</v>
      </c>
    </row>
    <row r="26" spans="3:47">
      <c r="D26" s="135" t="s">
        <v>30</v>
      </c>
      <c r="E26" s="136">
        <f>SUM(E7:E20)</f>
        <v>0.67000000000000015</v>
      </c>
      <c r="F26" s="136">
        <f>SUM(F7:F20)</f>
        <v>0.31000000000000005</v>
      </c>
      <c r="G26" s="136">
        <f>SUM(G7:G20)</f>
        <v>0.9800000000000002</v>
      </c>
      <c r="J26" s="135" t="s">
        <v>30</v>
      </c>
      <c r="K26" s="136">
        <f>SUM(K7:K20)</f>
        <v>1.2200000000000002</v>
      </c>
      <c r="L26" s="136">
        <f>SUM(L7:L20)</f>
        <v>0.43999999999999995</v>
      </c>
      <c r="M26" s="136">
        <f>SUM(M7:M20)</f>
        <v>1.6600000000000004</v>
      </c>
      <c r="Q26" s="119">
        <f>Q25*$Q$2</f>
        <v>196800.00000000003</v>
      </c>
      <c r="R26" s="119">
        <f>R25*$Q$2</f>
        <v>89600.000000000015</v>
      </c>
      <c r="S26" s="119">
        <f>S25*$Q$2</f>
        <v>286400.00000000006</v>
      </c>
      <c r="W26" s="119">
        <f>W25*$Q$2</f>
        <v>137600.00000000003</v>
      </c>
      <c r="X26" s="119">
        <f>X25*$Q$2</f>
        <v>121600</v>
      </c>
      <c r="Y26" s="119">
        <f>Y25*$Q$2</f>
        <v>259200.00000000009</v>
      </c>
    </row>
    <row r="27" spans="3:47">
      <c r="E27" s="303"/>
      <c r="F27" s="303"/>
      <c r="G27" s="119">
        <v>200624</v>
      </c>
      <c r="K27" s="303"/>
      <c r="L27" s="303"/>
      <c r="M27" s="119">
        <v>200624</v>
      </c>
    </row>
    <row r="28" spans="3:47">
      <c r="K28" s="143"/>
      <c r="L28" s="143"/>
    </row>
    <row r="29" spans="3:47">
      <c r="F29" s="143"/>
    </row>
  </sheetData>
  <phoneticPr fontId="8" type="noConversion"/>
  <pageMargins left="0.75" right="0.75" top="1" bottom="1" header="0.5" footer="0.5"/>
  <pageSetup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H51"/>
  <sheetViews>
    <sheetView workbookViewId="0"/>
  </sheetViews>
  <sheetFormatPr defaultColWidth="8.85546875" defaultRowHeight="15"/>
  <cols>
    <col min="1" max="1" width="33.85546875" customWidth="1"/>
    <col min="2" max="2" width="13.85546875" customWidth="1"/>
    <col min="3" max="3" width="13.28515625" bestFit="1" customWidth="1"/>
    <col min="4" max="4" width="13.85546875" bestFit="1" customWidth="1"/>
    <col min="5" max="8" width="12.7109375" bestFit="1" customWidth="1"/>
  </cols>
  <sheetData>
    <row r="1" spans="1:8" ht="18.75">
      <c r="A1" s="183" t="s">
        <v>133</v>
      </c>
    </row>
    <row r="3" spans="1:8" ht="16.5" thickBot="1">
      <c r="A3" s="225" t="s">
        <v>210</v>
      </c>
      <c r="B3" s="226"/>
      <c r="C3" s="226"/>
      <c r="D3" s="226"/>
      <c r="E3" s="226"/>
      <c r="F3" s="226"/>
      <c r="G3" s="226"/>
      <c r="H3" s="226"/>
    </row>
    <row r="4" spans="1:8" ht="16.5" thickBot="1">
      <c r="A4" s="424" t="s">
        <v>116</v>
      </c>
      <c r="B4" s="427" t="s">
        <v>211</v>
      </c>
      <c r="C4" s="430" t="s">
        <v>212</v>
      </c>
      <c r="D4" s="430"/>
      <c r="E4" s="430"/>
      <c r="F4" s="430"/>
      <c r="G4" s="430"/>
      <c r="H4" s="431"/>
    </row>
    <row r="5" spans="1:8" ht="16.5" thickBot="1">
      <c r="A5" s="425"/>
      <c r="B5" s="428"/>
      <c r="C5" s="227">
        <v>2015</v>
      </c>
      <c r="D5" s="227">
        <v>2016</v>
      </c>
      <c r="E5" s="227">
        <v>2017</v>
      </c>
      <c r="F5" s="227">
        <v>2018</v>
      </c>
      <c r="G5" s="227">
        <v>2019</v>
      </c>
      <c r="H5" s="228" t="s">
        <v>119</v>
      </c>
    </row>
    <row r="6" spans="1:8" ht="16.5" thickBot="1">
      <c r="A6" s="426"/>
      <c r="B6" s="429"/>
      <c r="C6" s="229">
        <f>ROUND('[1]Category (2014-2016)'!D39,-3)</f>
        <v>1670000</v>
      </c>
      <c r="D6" s="229">
        <f>ROUND('[1]Category (2014-2016)'!E39,-3)</f>
        <v>1696000</v>
      </c>
      <c r="E6" s="229">
        <f>ROUND('[1]Category (2014-2016)'!F39,-3)</f>
        <v>1825000</v>
      </c>
      <c r="F6" s="229">
        <f>ROUND('[1]Category (2014-2016)'!G39,-3)</f>
        <v>1870000</v>
      </c>
      <c r="G6" s="229">
        <f>ROUND('[1]Category (2014-2016)'!H39,-3)</f>
        <v>1912000</v>
      </c>
      <c r="H6" s="230">
        <f>SUM(C6:G6)</f>
        <v>8973000</v>
      </c>
    </row>
    <row r="7" spans="1:8" ht="15.75">
      <c r="A7" s="231" t="s">
        <v>120</v>
      </c>
      <c r="B7" s="325">
        <v>0.36042000000000002</v>
      </c>
      <c r="C7" s="232">
        <f>ROUND(C$6*($B7*(1/$B$20)),-2)</f>
        <v>607800</v>
      </c>
      <c r="D7" s="232">
        <f>ROUND(D$6*($B7*(1/$B$20)),-2)</f>
        <v>617200</v>
      </c>
      <c r="E7" s="232">
        <f t="shared" ref="E7:G7" si="0">ROUND(E$6*($B7*(1/$B$20)),-2)</f>
        <v>664200</v>
      </c>
      <c r="F7" s="232">
        <f t="shared" si="0"/>
        <v>680600</v>
      </c>
      <c r="G7" s="233">
        <f t="shared" si="0"/>
        <v>695900</v>
      </c>
      <c r="H7" s="234">
        <f>SUM(C7:G7)</f>
        <v>3265700</v>
      </c>
    </row>
    <row r="8" spans="1:8" ht="15.75">
      <c r="A8" s="175" t="s">
        <v>121</v>
      </c>
      <c r="B8" s="326">
        <v>0.20146</v>
      </c>
      <c r="C8" s="235">
        <f t="shared" ref="C8:G19" si="1">ROUND(C$6*($B8*(1/$B$20)),-2)</f>
        <v>339700</v>
      </c>
      <c r="D8" s="235">
        <f t="shared" si="1"/>
        <v>345000</v>
      </c>
      <c r="E8" s="235">
        <f t="shared" si="1"/>
        <v>371300</v>
      </c>
      <c r="F8" s="235">
        <f t="shared" si="1"/>
        <v>380400</v>
      </c>
      <c r="G8" s="236">
        <f t="shared" si="1"/>
        <v>389000</v>
      </c>
      <c r="H8" s="237">
        <f t="shared" ref="H8:H19" si="2">SUM(C8:G8)</f>
        <v>1825400</v>
      </c>
    </row>
    <row r="9" spans="1:8" ht="15.75">
      <c r="A9" s="175" t="s">
        <v>122</v>
      </c>
      <c r="B9" s="326">
        <v>0.14138999999999999</v>
      </c>
      <c r="C9" s="235">
        <f t="shared" si="1"/>
        <v>238400</v>
      </c>
      <c r="D9" s="235">
        <f t="shared" si="1"/>
        <v>242100</v>
      </c>
      <c r="E9" s="235">
        <f t="shared" si="1"/>
        <v>260600</v>
      </c>
      <c r="F9" s="235">
        <f t="shared" si="1"/>
        <v>267000</v>
      </c>
      <c r="G9" s="236">
        <f t="shared" si="1"/>
        <v>273000</v>
      </c>
      <c r="H9" s="237">
        <f t="shared" si="2"/>
        <v>1281100</v>
      </c>
    </row>
    <row r="10" spans="1:8" ht="15.75">
      <c r="A10" s="175" t="s">
        <v>123</v>
      </c>
      <c r="B10" s="326">
        <v>8.9660000000000004E-2</v>
      </c>
      <c r="C10" s="235">
        <f t="shared" si="1"/>
        <v>151200</v>
      </c>
      <c r="D10" s="235">
        <f t="shared" si="1"/>
        <v>153500</v>
      </c>
      <c r="E10" s="235">
        <f t="shared" si="1"/>
        <v>165200</v>
      </c>
      <c r="F10" s="235">
        <f t="shared" si="1"/>
        <v>169300</v>
      </c>
      <c r="G10" s="236">
        <f t="shared" si="1"/>
        <v>173100</v>
      </c>
      <c r="H10" s="237">
        <f t="shared" si="2"/>
        <v>812300</v>
      </c>
    </row>
    <row r="11" spans="1:8" ht="15.75">
      <c r="A11" s="175" t="s">
        <v>124</v>
      </c>
      <c r="B11" s="326">
        <v>5.7419999999999999E-2</v>
      </c>
      <c r="C11" s="235">
        <f t="shared" si="1"/>
        <v>96800</v>
      </c>
      <c r="D11" s="235">
        <f t="shared" si="1"/>
        <v>98300</v>
      </c>
      <c r="E11" s="235">
        <f t="shared" si="1"/>
        <v>105800</v>
      </c>
      <c r="F11" s="235">
        <f t="shared" si="1"/>
        <v>108400</v>
      </c>
      <c r="G11" s="236">
        <f t="shared" si="1"/>
        <v>110900</v>
      </c>
      <c r="H11" s="237">
        <f t="shared" si="2"/>
        <v>520200</v>
      </c>
    </row>
    <row r="12" spans="1:8" ht="15.75">
      <c r="A12" s="175" t="s">
        <v>213</v>
      </c>
      <c r="B12" s="326">
        <v>2.5430000000000001E-2</v>
      </c>
      <c r="C12" s="235">
        <f t="shared" si="1"/>
        <v>42900</v>
      </c>
      <c r="D12" s="235">
        <f t="shared" si="1"/>
        <v>43600</v>
      </c>
      <c r="E12" s="235">
        <f t="shared" si="1"/>
        <v>46900</v>
      </c>
      <c r="F12" s="235">
        <f t="shared" si="1"/>
        <v>48000</v>
      </c>
      <c r="G12" s="236">
        <f t="shared" si="1"/>
        <v>49100</v>
      </c>
      <c r="H12" s="237">
        <f t="shared" si="2"/>
        <v>230500</v>
      </c>
    </row>
    <row r="13" spans="1:8" ht="15.75">
      <c r="A13" s="175" t="s">
        <v>140</v>
      </c>
      <c r="B13" s="326">
        <v>4.0349999999999997E-2</v>
      </c>
      <c r="C13" s="238">
        <f>ROUND(C$30*(1/$B$20),-2)</f>
        <v>35700</v>
      </c>
      <c r="D13" s="238">
        <f t="shared" ref="D13:G13" si="3">ROUND(D$30*(1/$B$20),-2)</f>
        <v>36200</v>
      </c>
      <c r="E13" s="238">
        <f t="shared" si="3"/>
        <v>39000</v>
      </c>
      <c r="F13" s="238">
        <f t="shared" si="3"/>
        <v>40000</v>
      </c>
      <c r="G13" s="238">
        <f t="shared" si="3"/>
        <v>40900</v>
      </c>
      <c r="H13" s="239">
        <f t="shared" si="2"/>
        <v>191800</v>
      </c>
    </row>
    <row r="14" spans="1:8" ht="15.75">
      <c r="A14" s="175" t="s">
        <v>126</v>
      </c>
      <c r="B14" s="326">
        <v>3.6549999999999999E-2</v>
      </c>
      <c r="C14" s="235">
        <f t="shared" si="1"/>
        <v>61600</v>
      </c>
      <c r="D14" s="235">
        <f t="shared" si="1"/>
        <v>62600</v>
      </c>
      <c r="E14" s="235">
        <f t="shared" si="1"/>
        <v>67400</v>
      </c>
      <c r="F14" s="235">
        <f t="shared" si="1"/>
        <v>69000</v>
      </c>
      <c r="G14" s="236">
        <f t="shared" si="1"/>
        <v>70600</v>
      </c>
      <c r="H14" s="237">
        <f t="shared" si="2"/>
        <v>331200</v>
      </c>
    </row>
    <row r="15" spans="1:8" ht="15.75">
      <c r="A15" s="175" t="s">
        <v>214</v>
      </c>
      <c r="B15" s="326">
        <v>1.3140000000000001E-2</v>
      </c>
      <c r="C15" s="235">
        <f t="shared" si="1"/>
        <v>22200</v>
      </c>
      <c r="D15" s="235">
        <f t="shared" si="1"/>
        <v>22500</v>
      </c>
      <c r="E15" s="235">
        <f t="shared" si="1"/>
        <v>24200</v>
      </c>
      <c r="F15" s="235">
        <f t="shared" si="1"/>
        <v>24800</v>
      </c>
      <c r="G15" s="236">
        <f t="shared" si="1"/>
        <v>25400</v>
      </c>
      <c r="H15" s="237">
        <f t="shared" si="2"/>
        <v>119100</v>
      </c>
    </row>
    <row r="16" spans="1:8" ht="15.75">
      <c r="A16" s="175" t="s">
        <v>128</v>
      </c>
      <c r="B16" s="326">
        <v>1.0959999999999999E-2</v>
      </c>
      <c r="C16" s="235">
        <f t="shared" si="1"/>
        <v>18500</v>
      </c>
      <c r="D16" s="235">
        <f t="shared" si="1"/>
        <v>18800</v>
      </c>
      <c r="E16" s="235">
        <f t="shared" si="1"/>
        <v>20200</v>
      </c>
      <c r="F16" s="235">
        <f t="shared" si="1"/>
        <v>20700</v>
      </c>
      <c r="G16" s="236">
        <f t="shared" si="1"/>
        <v>21200</v>
      </c>
      <c r="H16" s="237">
        <f t="shared" si="2"/>
        <v>99400</v>
      </c>
    </row>
    <row r="17" spans="1:8" ht="15.75">
      <c r="A17" s="175" t="s">
        <v>215</v>
      </c>
      <c r="B17" s="326">
        <v>6.5399999999999998E-3</v>
      </c>
      <c r="C17" s="235">
        <f t="shared" si="1"/>
        <v>11000</v>
      </c>
      <c r="D17" s="235">
        <f t="shared" si="1"/>
        <v>11200</v>
      </c>
      <c r="E17" s="235">
        <f t="shared" si="1"/>
        <v>12100</v>
      </c>
      <c r="F17" s="235">
        <f t="shared" si="1"/>
        <v>12300</v>
      </c>
      <c r="G17" s="236">
        <f t="shared" si="1"/>
        <v>12600</v>
      </c>
      <c r="H17" s="237">
        <f t="shared" si="2"/>
        <v>59200</v>
      </c>
    </row>
    <row r="18" spans="1:8" ht="15.75">
      <c r="A18" s="175" t="s">
        <v>216</v>
      </c>
      <c r="B18" s="326">
        <v>3.1700000000000001E-3</v>
      </c>
      <c r="C18" s="235">
        <f t="shared" si="1"/>
        <v>5300</v>
      </c>
      <c r="D18" s="235">
        <f t="shared" si="1"/>
        <v>5400</v>
      </c>
      <c r="E18" s="235">
        <f t="shared" si="1"/>
        <v>5800</v>
      </c>
      <c r="F18" s="235">
        <f t="shared" si="1"/>
        <v>6000</v>
      </c>
      <c r="G18" s="236">
        <f t="shared" si="1"/>
        <v>6100</v>
      </c>
      <c r="H18" s="237">
        <f t="shared" si="2"/>
        <v>28600</v>
      </c>
    </row>
    <row r="19" spans="1:8" ht="16.5" thickBot="1">
      <c r="A19" s="240" t="s">
        <v>217</v>
      </c>
      <c r="B19" s="326">
        <v>3.8300000000000001E-3</v>
      </c>
      <c r="C19" s="241">
        <f t="shared" si="1"/>
        <v>6500</v>
      </c>
      <c r="D19" s="241">
        <f t="shared" si="1"/>
        <v>6600</v>
      </c>
      <c r="E19" s="241">
        <f t="shared" si="1"/>
        <v>7100</v>
      </c>
      <c r="F19" s="241">
        <f t="shared" si="1"/>
        <v>7200</v>
      </c>
      <c r="G19" s="242">
        <f t="shared" si="1"/>
        <v>7400</v>
      </c>
      <c r="H19" s="243">
        <f t="shared" si="2"/>
        <v>34800</v>
      </c>
    </row>
    <row r="20" spans="1:8" ht="16.5" thickBot="1">
      <c r="A20" s="179" t="s">
        <v>119</v>
      </c>
      <c r="B20" s="244">
        <f t="shared" ref="B20:H20" si="4">SUM(B7:B19)</f>
        <v>0.99031999999999998</v>
      </c>
      <c r="C20" s="181">
        <f t="shared" si="4"/>
        <v>1637600</v>
      </c>
      <c r="D20" s="181">
        <f>SUM(D7:D19)</f>
        <v>1663000</v>
      </c>
      <c r="E20" s="181">
        <f t="shared" si="4"/>
        <v>1789800</v>
      </c>
      <c r="F20" s="181">
        <f t="shared" si="4"/>
        <v>1833700</v>
      </c>
      <c r="G20" s="181">
        <f t="shared" si="4"/>
        <v>1875200</v>
      </c>
      <c r="H20" s="245">
        <f t="shared" si="4"/>
        <v>8799300</v>
      </c>
    </row>
    <row r="21" spans="1:8">
      <c r="A21" s="246" t="s">
        <v>218</v>
      </c>
      <c r="B21" s="247"/>
      <c r="C21" s="247"/>
      <c r="D21" s="247"/>
      <c r="E21" s="247"/>
      <c r="F21" s="247"/>
      <c r="H21" s="248"/>
    </row>
    <row r="22" spans="1:8" ht="15.75">
      <c r="A22" s="320" t="s">
        <v>282</v>
      </c>
    </row>
    <row r="24" spans="1:8">
      <c r="A24" s="249" t="s">
        <v>219</v>
      </c>
      <c r="B24" s="250" t="s">
        <v>220</v>
      </c>
      <c r="C24" s="250">
        <v>2015</v>
      </c>
      <c r="D24" s="250">
        <v>2016</v>
      </c>
      <c r="E24" s="250">
        <v>2017</v>
      </c>
      <c r="F24" s="250">
        <v>2018</v>
      </c>
      <c r="G24" s="250">
        <v>2019</v>
      </c>
      <c r="H24" s="250" t="s">
        <v>119</v>
      </c>
    </row>
    <row r="25" spans="1:8">
      <c r="A25" t="s">
        <v>221</v>
      </c>
      <c r="B25" s="251">
        <f>B40</f>
        <v>3.8128397802041913E-2</v>
      </c>
      <c r="C25" s="252"/>
      <c r="D25" s="252"/>
      <c r="E25" s="252"/>
      <c r="F25" s="252"/>
      <c r="G25" s="252"/>
      <c r="H25" s="252"/>
    </row>
    <row r="26" spans="1:8">
      <c r="A26" t="s">
        <v>222</v>
      </c>
      <c r="B26" s="253">
        <f>1500000*B25</f>
        <v>57192.596703062867</v>
      </c>
      <c r="C26" s="254"/>
      <c r="D26" s="255"/>
      <c r="E26" s="255"/>
      <c r="F26" s="255"/>
      <c r="G26" s="255"/>
      <c r="H26" s="255"/>
    </row>
    <row r="27" spans="1:8">
      <c r="A27" t="s">
        <v>223</v>
      </c>
      <c r="B27" s="253">
        <v>30000</v>
      </c>
      <c r="C27" s="256"/>
      <c r="D27" s="255"/>
      <c r="E27" s="255"/>
      <c r="F27" s="255"/>
      <c r="G27" s="255"/>
      <c r="H27" s="255"/>
    </row>
    <row r="28" spans="1:8">
      <c r="A28" t="s">
        <v>224</v>
      </c>
      <c r="B28" s="257">
        <f>(B27/B26)</f>
        <v>0.52454341522131642</v>
      </c>
      <c r="C28" s="254"/>
      <c r="D28" s="254"/>
      <c r="E28" s="254"/>
      <c r="F28" s="254"/>
      <c r="G28" s="254"/>
      <c r="H28" s="255"/>
    </row>
    <row r="29" spans="1:8">
      <c r="A29" t="s">
        <v>225</v>
      </c>
      <c r="B29" s="258">
        <f>B13</f>
        <v>4.0349999999999997E-2</v>
      </c>
      <c r="C29" s="255"/>
      <c r="D29" s="255"/>
      <c r="E29" s="255"/>
      <c r="F29" s="255"/>
      <c r="G29" s="255"/>
      <c r="H29" s="255"/>
    </row>
    <row r="30" spans="1:8">
      <c r="A30" t="s">
        <v>226</v>
      </c>
      <c r="B30" s="259"/>
      <c r="C30" s="260">
        <f>$B$28*C6*$B$29</f>
        <v>35346.095762980796</v>
      </c>
      <c r="D30" s="260">
        <f t="shared" ref="D30:G30" si="5">$B$28*D6*$B$29</f>
        <v>35896.394259889472</v>
      </c>
      <c r="E30" s="260">
        <f t="shared" si="5"/>
        <v>38626.721417628716</v>
      </c>
      <c r="F30" s="260">
        <f t="shared" si="5"/>
        <v>39579.161123816819</v>
      </c>
      <c r="G30" s="260">
        <f t="shared" si="5"/>
        <v>40468.104849592382</v>
      </c>
      <c r="H30" s="261">
        <f>SUM(C30:G30)</f>
        <v>189916.4774139082</v>
      </c>
    </row>
    <row r="32" spans="1:8" ht="16.5" thickBot="1">
      <c r="A32" s="225" t="s">
        <v>227</v>
      </c>
      <c r="B32" s="262">
        <v>1500000</v>
      </c>
      <c r="F32" s="2"/>
    </row>
    <row r="33" spans="1:6" ht="78.75">
      <c r="A33" s="172" t="s">
        <v>116</v>
      </c>
      <c r="B33" s="173" t="s">
        <v>132</v>
      </c>
      <c r="C33" s="173" t="s">
        <v>117</v>
      </c>
      <c r="D33" s="174" t="s">
        <v>118</v>
      </c>
      <c r="E33" s="6"/>
      <c r="F33" s="7"/>
    </row>
    <row r="34" spans="1:6" ht="15.75">
      <c r="A34" s="175" t="s">
        <v>120</v>
      </c>
      <c r="B34" s="263">
        <v>0.35491098436645985</v>
      </c>
      <c r="C34" s="176">
        <f t="shared" ref="C34:C46" si="6">$B$32*B34</f>
        <v>532366.47654968977</v>
      </c>
      <c r="D34" s="177">
        <f>ROUND(C34,-3)</f>
        <v>532000</v>
      </c>
      <c r="E34" s="6"/>
      <c r="F34" s="2"/>
    </row>
    <row r="35" spans="1:6" ht="15.75">
      <c r="A35" s="175" t="s">
        <v>121</v>
      </c>
      <c r="B35" s="263">
        <v>0.20525957851608623</v>
      </c>
      <c r="C35" s="176">
        <f t="shared" si="6"/>
        <v>307889.36777412932</v>
      </c>
      <c r="D35" s="177">
        <f t="shared" ref="D35:D46" si="7">ROUND(C35,-3)</f>
        <v>308000</v>
      </c>
      <c r="E35" s="6"/>
    </row>
    <row r="36" spans="1:6" ht="15.75">
      <c r="A36" s="175" t="s">
        <v>122</v>
      </c>
      <c r="B36" s="263">
        <v>0.13718045536284248</v>
      </c>
      <c r="C36" s="176">
        <f t="shared" si="6"/>
        <v>205770.68304426371</v>
      </c>
      <c r="D36" s="177">
        <f t="shared" si="7"/>
        <v>206000</v>
      </c>
      <c r="E36" s="6"/>
    </row>
    <row r="37" spans="1:6" ht="15.75">
      <c r="A37" s="175" t="s">
        <v>123</v>
      </c>
      <c r="B37" s="263">
        <v>8.6172223450727434E-2</v>
      </c>
      <c r="C37" s="176">
        <f t="shared" si="6"/>
        <v>129258.33517609115</v>
      </c>
      <c r="D37" s="177">
        <f t="shared" si="7"/>
        <v>129000</v>
      </c>
      <c r="E37" s="6"/>
    </row>
    <row r="38" spans="1:6" ht="15.75">
      <c r="A38" s="175" t="s">
        <v>124</v>
      </c>
      <c r="B38" s="263">
        <v>5.5301509948806102E-2</v>
      </c>
      <c r="C38" s="176">
        <f t="shared" si="6"/>
        <v>82952.26492320915</v>
      </c>
      <c r="D38" s="177">
        <f t="shared" si="7"/>
        <v>83000</v>
      </c>
      <c r="E38" s="6"/>
    </row>
    <row r="39" spans="1:6" ht="15.75">
      <c r="A39" s="175" t="s">
        <v>125</v>
      </c>
      <c r="B39" s="263">
        <v>4.5079419385255989E-2</v>
      </c>
      <c r="C39" s="176">
        <f t="shared" si="6"/>
        <v>67619.12907788399</v>
      </c>
      <c r="D39" s="177">
        <f t="shared" si="7"/>
        <v>68000</v>
      </c>
      <c r="E39" s="6"/>
    </row>
    <row r="40" spans="1:6" ht="15.75">
      <c r="A40" s="175" t="s">
        <v>140</v>
      </c>
      <c r="B40" s="263">
        <v>3.8128397802041913E-2</v>
      </c>
      <c r="C40" s="176">
        <f t="shared" si="6"/>
        <v>57192.596703062867</v>
      </c>
      <c r="D40" s="177">
        <v>30000</v>
      </c>
      <c r="E40" s="6"/>
    </row>
    <row r="41" spans="1:6" ht="15.75">
      <c r="A41" s="175" t="s">
        <v>126</v>
      </c>
      <c r="B41" s="263">
        <v>3.7208409651322404E-2</v>
      </c>
      <c r="C41" s="176">
        <f t="shared" si="6"/>
        <v>55812.614476983603</v>
      </c>
      <c r="D41" s="177">
        <f t="shared" si="7"/>
        <v>56000</v>
      </c>
      <c r="E41" s="6"/>
    </row>
    <row r="42" spans="1:6" ht="15.75">
      <c r="A42" s="175" t="s">
        <v>127</v>
      </c>
      <c r="B42" s="263">
        <v>1.3596423519987317E-2</v>
      </c>
      <c r="C42" s="176">
        <f t="shared" si="6"/>
        <v>20394.635279980976</v>
      </c>
      <c r="D42" s="177">
        <f t="shared" si="7"/>
        <v>20000</v>
      </c>
      <c r="E42" s="6"/>
      <c r="F42" s="6"/>
    </row>
    <row r="43" spans="1:6" ht="15.75">
      <c r="A43" s="175" t="s">
        <v>128</v>
      </c>
      <c r="B43" s="263">
        <v>1.1244299619905123E-2</v>
      </c>
      <c r="C43" s="176">
        <f t="shared" si="6"/>
        <v>16866.449429857683</v>
      </c>
      <c r="D43" s="177">
        <f t="shared" si="7"/>
        <v>17000</v>
      </c>
      <c r="E43" s="6"/>
      <c r="F43" s="6"/>
    </row>
    <row r="44" spans="1:6" ht="15.75">
      <c r="A44" s="175" t="s">
        <v>129</v>
      </c>
      <c r="B44" s="263">
        <v>7.8710097339335858E-3</v>
      </c>
      <c r="C44" s="176">
        <f t="shared" si="6"/>
        <v>11806.514600900378</v>
      </c>
      <c r="D44" s="177">
        <f t="shared" si="7"/>
        <v>12000</v>
      </c>
      <c r="E44" s="6"/>
      <c r="F44" s="6"/>
    </row>
    <row r="45" spans="1:6" ht="15.75">
      <c r="A45" s="175" t="s">
        <v>130</v>
      </c>
      <c r="B45" s="263">
        <v>5.1851032848375103E-3</v>
      </c>
      <c r="C45" s="176">
        <f t="shared" si="6"/>
        <v>7777.6549272562652</v>
      </c>
      <c r="D45" s="177">
        <f t="shared" si="7"/>
        <v>8000</v>
      </c>
      <c r="E45" s="6"/>
      <c r="F45" s="6"/>
    </row>
    <row r="46" spans="1:6" ht="15.75">
      <c r="A46" s="175" t="s">
        <v>131</v>
      </c>
      <c r="B46" s="263">
        <v>2.8621853577940311E-3</v>
      </c>
      <c r="C46" s="176">
        <f t="shared" si="6"/>
        <v>4293.2780366910465</v>
      </c>
      <c r="D46" s="177">
        <f t="shared" si="7"/>
        <v>4000</v>
      </c>
      <c r="E46" s="6"/>
      <c r="F46" s="6"/>
    </row>
    <row r="47" spans="1:6" ht="15.75">
      <c r="A47" s="175"/>
      <c r="B47" s="96"/>
      <c r="C47" s="96"/>
      <c r="D47" s="178"/>
      <c r="E47" s="3"/>
      <c r="F47" s="3"/>
    </row>
    <row r="48" spans="1:6" ht="16.5" thickBot="1">
      <c r="A48" s="179" t="s">
        <v>119</v>
      </c>
      <c r="B48" s="180">
        <f>SUM(B34:B46)</f>
        <v>1</v>
      </c>
      <c r="C48" s="181">
        <f>SUM(C34:C46)</f>
        <v>1499999.9999999998</v>
      </c>
      <c r="D48" s="182">
        <f>SUM(D34:D46)</f>
        <v>1473000</v>
      </c>
      <c r="E48" s="3"/>
      <c r="F48" s="6"/>
    </row>
    <row r="49" spans="1:2">
      <c r="A49" s="9" t="s">
        <v>148</v>
      </c>
    </row>
    <row r="51" spans="1:2">
      <c r="B51" s="10"/>
    </row>
  </sheetData>
  <mergeCells count="3">
    <mergeCell ref="A4:A6"/>
    <mergeCell ref="B4:B6"/>
    <mergeCell ref="C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codeName="Sheet6" enableFormatConditionsCalculation="0"/>
  <dimension ref="B1:V75"/>
  <sheetViews>
    <sheetView zoomScale="90" zoomScaleNormal="90" workbookViewId="0"/>
  </sheetViews>
  <sheetFormatPr defaultColWidth="8.85546875" defaultRowHeight="15.75"/>
  <cols>
    <col min="1" max="1" width="8.85546875" style="19"/>
    <col min="2" max="2" width="55" style="19" customWidth="1"/>
    <col min="3" max="3" width="13.7109375" style="19" customWidth="1"/>
    <col min="4" max="4" width="9.140625" style="19" bestFit="1" customWidth="1"/>
    <col min="5" max="5" width="9.42578125" style="19" bestFit="1" customWidth="1"/>
    <col min="6" max="6" width="12.7109375" style="19" bestFit="1" customWidth="1"/>
    <col min="7" max="8" width="8.85546875" style="19"/>
    <col min="9" max="9" width="11" style="19" customWidth="1"/>
    <col min="10" max="10" width="11.28515625" style="19" bestFit="1" customWidth="1"/>
    <col min="11" max="11" width="12.42578125" style="19" bestFit="1" customWidth="1"/>
    <col min="12" max="12" width="8.85546875" style="19"/>
    <col min="13" max="13" width="12.42578125" style="19" bestFit="1" customWidth="1"/>
    <col min="14" max="14" width="8.85546875" style="19"/>
    <col min="15" max="15" width="13.28515625" style="19" bestFit="1" customWidth="1"/>
    <col min="16" max="16" width="9.42578125" style="19" bestFit="1" customWidth="1"/>
    <col min="17" max="17" width="12" style="19" bestFit="1" customWidth="1"/>
    <col min="18" max="16384" width="8.85546875" style="19"/>
  </cols>
  <sheetData>
    <row r="1" spans="2:19" ht="18.75">
      <c r="B1" s="183" t="s">
        <v>112</v>
      </c>
    </row>
    <row r="2" spans="2:19">
      <c r="B2" s="1" t="str">
        <f>'Table of Contents'!B2</f>
        <v>FINAL Work Plan; Council Approval on October 13, 2015</v>
      </c>
    </row>
    <row r="4" spans="2:19" ht="63">
      <c r="B4" s="144" t="s">
        <v>138</v>
      </c>
      <c r="C4" s="144" t="s">
        <v>84</v>
      </c>
      <c r="D4" s="144" t="s">
        <v>18</v>
      </c>
      <c r="E4" s="145"/>
      <c r="F4" s="145"/>
      <c r="G4" s="145"/>
      <c r="H4" s="145"/>
      <c r="I4" s="145"/>
      <c r="J4" s="145"/>
      <c r="K4" s="145"/>
      <c r="L4" s="145"/>
      <c r="M4" s="145"/>
      <c r="N4" s="145"/>
      <c r="O4" s="32"/>
      <c r="P4" s="146" t="s">
        <v>71</v>
      </c>
      <c r="Q4" s="146" t="s">
        <v>26</v>
      </c>
      <c r="R4" s="146" t="s">
        <v>27</v>
      </c>
      <c r="S4" s="32"/>
    </row>
    <row r="5" spans="2:19">
      <c r="B5" s="19" t="s">
        <v>150</v>
      </c>
      <c r="C5" s="43">
        <v>15000</v>
      </c>
      <c r="D5" s="147" t="s">
        <v>82</v>
      </c>
      <c r="E5" s="147"/>
      <c r="F5" s="147"/>
      <c r="G5" s="147"/>
      <c r="H5" s="147"/>
      <c r="I5" s="147"/>
      <c r="J5" s="147"/>
      <c r="K5" s="147"/>
      <c r="L5" s="148"/>
      <c r="M5" s="148"/>
      <c r="N5" s="148"/>
      <c r="O5" s="149"/>
      <c r="P5" s="150">
        <v>6000</v>
      </c>
      <c r="Q5" s="150">
        <v>1000</v>
      </c>
      <c r="R5" s="150">
        <v>1000</v>
      </c>
      <c r="S5" s="32"/>
    </row>
    <row r="6" spans="2:19">
      <c r="B6" s="19" t="s">
        <v>151</v>
      </c>
      <c r="C6" s="43">
        <v>9000</v>
      </c>
      <c r="D6" s="147" t="s">
        <v>85</v>
      </c>
      <c r="E6" s="151"/>
      <c r="F6" s="151"/>
      <c r="G6" s="151"/>
      <c r="H6" s="151"/>
      <c r="I6" s="151"/>
      <c r="J6" s="151"/>
      <c r="K6" s="151"/>
      <c r="L6" s="29"/>
      <c r="M6" s="29"/>
      <c r="N6" s="29"/>
      <c r="O6" s="32"/>
      <c r="P6" s="150">
        <v>2000</v>
      </c>
      <c r="Q6" s="150">
        <v>1000</v>
      </c>
      <c r="R6" s="150"/>
      <c r="S6" s="32"/>
    </row>
    <row r="7" spans="2:19">
      <c r="B7" s="19" t="s">
        <v>152</v>
      </c>
      <c r="C7" s="43">
        <v>9000</v>
      </c>
      <c r="D7" s="147" t="s">
        <v>86</v>
      </c>
      <c r="E7" s="29"/>
      <c r="F7" s="29"/>
      <c r="G7" s="29"/>
      <c r="H7" s="29"/>
      <c r="I7" s="29"/>
      <c r="J7" s="29"/>
      <c r="K7" s="29"/>
      <c r="L7" s="29"/>
      <c r="M7" s="29"/>
      <c r="N7" s="29"/>
      <c r="O7" s="32"/>
      <c r="P7" s="150">
        <v>4000</v>
      </c>
      <c r="Q7" s="152">
        <v>2000</v>
      </c>
      <c r="R7" s="152">
        <v>2000</v>
      </c>
      <c r="S7" s="32"/>
    </row>
    <row r="8" spans="2:19">
      <c r="B8" s="19" t="s">
        <v>73</v>
      </c>
      <c r="C8" s="43">
        <v>9000</v>
      </c>
      <c r="D8" s="147" t="s">
        <v>139</v>
      </c>
      <c r="E8" s="29"/>
      <c r="F8" s="29"/>
      <c r="G8" s="29"/>
      <c r="H8" s="29"/>
      <c r="I8" s="29"/>
      <c r="J8" s="29"/>
      <c r="K8" s="29"/>
      <c r="L8" s="29"/>
      <c r="M8" s="29"/>
      <c r="N8" s="29"/>
      <c r="O8" s="32"/>
      <c r="P8" s="153">
        <v>12000</v>
      </c>
      <c r="Q8" s="153">
        <v>6000</v>
      </c>
      <c r="R8" s="153">
        <v>2000</v>
      </c>
      <c r="S8" s="32"/>
    </row>
    <row r="9" spans="2:19">
      <c r="B9" s="19" t="s">
        <v>102</v>
      </c>
      <c r="C9" s="43">
        <v>50000</v>
      </c>
      <c r="D9" s="147" t="s">
        <v>77</v>
      </c>
      <c r="E9" s="29"/>
      <c r="F9" s="29"/>
      <c r="G9" s="29"/>
      <c r="H9" s="29"/>
      <c r="I9" s="29"/>
      <c r="J9" s="29"/>
      <c r="K9" s="29"/>
      <c r="L9" s="29"/>
      <c r="M9" s="29"/>
      <c r="N9" s="29"/>
      <c r="O9" s="32"/>
      <c r="P9" s="153">
        <v>40000</v>
      </c>
      <c r="Q9" s="153">
        <v>6000</v>
      </c>
      <c r="R9" s="153">
        <v>3000</v>
      </c>
      <c r="S9" s="32"/>
    </row>
    <row r="10" spans="2:19">
      <c r="B10" s="19" t="s">
        <v>78</v>
      </c>
      <c r="C10" s="43">
        <v>20000</v>
      </c>
      <c r="D10" s="147" t="s">
        <v>76</v>
      </c>
      <c r="E10" s="151"/>
      <c r="F10" s="151"/>
      <c r="G10" s="151"/>
      <c r="H10" s="151"/>
      <c r="I10" s="151"/>
      <c r="J10" s="151"/>
      <c r="K10" s="151"/>
      <c r="L10" s="29"/>
      <c r="M10" s="29"/>
      <c r="N10" s="29"/>
      <c r="O10" s="32"/>
      <c r="P10" s="153">
        <v>15000</v>
      </c>
      <c r="Q10" s="153">
        <v>6000</v>
      </c>
      <c r="R10" s="153">
        <v>2000</v>
      </c>
      <c r="S10" s="32"/>
    </row>
    <row r="11" spans="2:19">
      <c r="B11" s="19" t="s">
        <v>160</v>
      </c>
      <c r="C11" s="43">
        <v>35000</v>
      </c>
      <c r="D11" s="147" t="s">
        <v>79</v>
      </c>
      <c r="E11" s="29"/>
      <c r="F11" s="29"/>
      <c r="G11" s="29"/>
      <c r="H11" s="29"/>
      <c r="I11" s="29"/>
      <c r="J11" s="29"/>
      <c r="K11" s="29"/>
      <c r="L11" s="29"/>
      <c r="M11" s="29"/>
      <c r="N11" s="29"/>
      <c r="O11" s="32"/>
      <c r="P11" s="150"/>
      <c r="Q11" s="150"/>
      <c r="R11" s="150"/>
      <c r="S11" s="32"/>
    </row>
    <row r="12" spans="2:19">
      <c r="B12" s="19" t="s">
        <v>159</v>
      </c>
      <c r="C12" s="43">
        <v>20000</v>
      </c>
      <c r="D12" s="147" t="s">
        <v>80</v>
      </c>
      <c r="E12" s="29"/>
      <c r="F12" s="29"/>
      <c r="G12" s="29"/>
      <c r="H12" s="29"/>
      <c r="I12" s="29"/>
      <c r="J12" s="29"/>
      <c r="K12" s="29"/>
      <c r="L12" s="29"/>
      <c r="M12" s="29"/>
      <c r="N12" s="29"/>
      <c r="O12" s="32"/>
      <c r="P12" s="150"/>
      <c r="Q12" s="150"/>
      <c r="R12" s="150"/>
      <c r="S12" s="32"/>
    </row>
    <row r="13" spans="2:19">
      <c r="B13" s="19" t="s">
        <v>161</v>
      </c>
      <c r="C13" s="43">
        <v>45000</v>
      </c>
      <c r="D13" s="147" t="s">
        <v>75</v>
      </c>
      <c r="E13" s="151"/>
      <c r="F13" s="151"/>
      <c r="G13" s="151"/>
      <c r="H13" s="151"/>
      <c r="I13" s="151"/>
      <c r="J13" s="151"/>
      <c r="K13" s="151"/>
      <c r="L13" s="29"/>
      <c r="M13" s="29"/>
      <c r="N13" s="29"/>
      <c r="O13" s="32"/>
      <c r="P13" s="150"/>
      <c r="Q13" s="150"/>
      <c r="R13" s="150"/>
      <c r="S13" s="32"/>
    </row>
    <row r="14" spans="2:19">
      <c r="B14" s="19" t="s">
        <v>158</v>
      </c>
      <c r="C14" s="43">
        <v>80000</v>
      </c>
      <c r="D14" s="147" t="s">
        <v>81</v>
      </c>
      <c r="E14" s="29"/>
      <c r="F14" s="29"/>
      <c r="G14" s="29"/>
      <c r="H14" s="29"/>
      <c r="I14" s="29"/>
      <c r="J14" s="29"/>
      <c r="K14" s="29"/>
      <c r="L14" s="29"/>
      <c r="M14" s="29"/>
      <c r="N14" s="29"/>
      <c r="O14" s="32"/>
      <c r="P14" s="150"/>
      <c r="Q14" s="150"/>
      <c r="R14" s="150"/>
      <c r="S14" s="32"/>
    </row>
    <row r="15" spans="2:19">
      <c r="B15" s="19" t="s">
        <v>74</v>
      </c>
      <c r="C15" s="43">
        <v>12000</v>
      </c>
      <c r="D15" s="147" t="s">
        <v>157</v>
      </c>
      <c r="E15" s="151"/>
      <c r="F15" s="151"/>
      <c r="G15" s="151"/>
      <c r="H15" s="151"/>
      <c r="I15" s="151"/>
      <c r="J15" s="151"/>
      <c r="K15" s="151"/>
      <c r="L15" s="151"/>
      <c r="M15" s="151"/>
      <c r="N15" s="151"/>
      <c r="O15" s="154"/>
      <c r="P15" s="150"/>
      <c r="Q15" s="150"/>
      <c r="R15" s="150"/>
      <c r="S15" s="32"/>
    </row>
    <row r="18" spans="2:14">
      <c r="B18" s="144" t="s">
        <v>87</v>
      </c>
      <c r="C18" s="144" t="s">
        <v>57</v>
      </c>
      <c r="D18" s="144" t="s">
        <v>53</v>
      </c>
      <c r="E18" s="144" t="s">
        <v>54</v>
      </c>
      <c r="F18" s="144" t="s">
        <v>55</v>
      </c>
      <c r="G18" s="144" t="s">
        <v>56</v>
      </c>
      <c r="H18" s="145"/>
      <c r="I18" s="144" t="s">
        <v>21</v>
      </c>
      <c r="J18" s="144" t="s">
        <v>22</v>
      </c>
      <c r="K18" s="145"/>
      <c r="L18" s="144" t="s">
        <v>23</v>
      </c>
      <c r="M18" s="144" t="s">
        <v>24</v>
      </c>
      <c r="N18" s="144" t="s">
        <v>25</v>
      </c>
    </row>
    <row r="19" spans="2:14">
      <c r="C19" s="51">
        <f>D19*12</f>
        <v>124800</v>
      </c>
      <c r="D19" s="51">
        <f>E19*(52/12)</f>
        <v>10400</v>
      </c>
      <c r="E19" s="51">
        <f>F19*5</f>
        <v>2400</v>
      </c>
      <c r="F19" s="51">
        <f>G19*8</f>
        <v>480</v>
      </c>
      <c r="G19" s="43">
        <v>60</v>
      </c>
      <c r="I19" s="51">
        <f>F19*52</f>
        <v>24960</v>
      </c>
      <c r="J19" s="51">
        <f>I19*2</f>
        <v>49920</v>
      </c>
      <c r="L19" s="51">
        <f>F19*12</f>
        <v>5760</v>
      </c>
      <c r="M19" s="51">
        <f>L19*2</f>
        <v>11520</v>
      </c>
      <c r="N19" s="51">
        <f>L19*3</f>
        <v>17280</v>
      </c>
    </row>
    <row r="20" spans="2:14">
      <c r="C20" s="51">
        <f>D20*12</f>
        <v>166400</v>
      </c>
      <c r="D20" s="51">
        <f>E20*(52/12)</f>
        <v>13866.666666666666</v>
      </c>
      <c r="E20" s="51">
        <f>F20*5</f>
        <v>3200</v>
      </c>
      <c r="F20" s="51">
        <f>G20*8</f>
        <v>640</v>
      </c>
      <c r="G20" s="43">
        <v>80</v>
      </c>
      <c r="I20" s="51">
        <f t="shared" ref="I20:I25" si="0">F20*52</f>
        <v>33280</v>
      </c>
      <c r="J20" s="51">
        <f t="shared" ref="J20:J25" si="1">I20*2</f>
        <v>66560</v>
      </c>
      <c r="L20" s="51">
        <f t="shared" ref="L20:L25" si="2">F20*12</f>
        <v>7680</v>
      </c>
      <c r="M20" s="51">
        <f t="shared" ref="M20:M25" si="3">L20*2</f>
        <v>15360</v>
      </c>
      <c r="N20" s="51">
        <f t="shared" ref="N20:N25" si="4">L20*3</f>
        <v>23040</v>
      </c>
    </row>
    <row r="21" spans="2:14">
      <c r="C21" s="51">
        <f t="shared" ref="C21:C24" si="5">D21*12</f>
        <v>208000</v>
      </c>
      <c r="D21" s="51">
        <f t="shared" ref="D21:D25" si="6">E21*(52/12)</f>
        <v>17333.333333333332</v>
      </c>
      <c r="E21" s="51">
        <f t="shared" ref="E21:E25" si="7">F21*5</f>
        <v>4000</v>
      </c>
      <c r="F21" s="51">
        <f t="shared" ref="F21:F25" si="8">G21*8</f>
        <v>800</v>
      </c>
      <c r="G21" s="43">
        <v>100</v>
      </c>
      <c r="I21" s="51">
        <f t="shared" si="0"/>
        <v>41600</v>
      </c>
      <c r="J21" s="51">
        <f t="shared" si="1"/>
        <v>83200</v>
      </c>
      <c r="L21" s="51">
        <f t="shared" si="2"/>
        <v>9600</v>
      </c>
      <c r="M21" s="51">
        <f t="shared" si="3"/>
        <v>19200</v>
      </c>
      <c r="N21" s="51">
        <f t="shared" si="4"/>
        <v>28800</v>
      </c>
    </row>
    <row r="22" spans="2:14">
      <c r="B22" s="155"/>
      <c r="C22" s="51">
        <f t="shared" si="5"/>
        <v>249600</v>
      </c>
      <c r="D22" s="51">
        <f t="shared" si="6"/>
        <v>20800</v>
      </c>
      <c r="E22" s="51">
        <f t="shared" si="7"/>
        <v>4800</v>
      </c>
      <c r="F22" s="51">
        <f t="shared" si="8"/>
        <v>960</v>
      </c>
      <c r="G22" s="43">
        <v>120</v>
      </c>
      <c r="I22" s="51">
        <f t="shared" si="0"/>
        <v>49920</v>
      </c>
      <c r="J22" s="51">
        <f t="shared" si="1"/>
        <v>99840</v>
      </c>
      <c r="L22" s="51">
        <f t="shared" si="2"/>
        <v>11520</v>
      </c>
      <c r="M22" s="51">
        <f t="shared" si="3"/>
        <v>23040</v>
      </c>
      <c r="N22" s="51">
        <f t="shared" si="4"/>
        <v>34560</v>
      </c>
    </row>
    <row r="23" spans="2:14">
      <c r="C23" s="51">
        <f t="shared" si="5"/>
        <v>312000</v>
      </c>
      <c r="D23" s="51">
        <f t="shared" si="6"/>
        <v>26000</v>
      </c>
      <c r="E23" s="51">
        <f t="shared" si="7"/>
        <v>6000</v>
      </c>
      <c r="F23" s="51">
        <f t="shared" si="8"/>
        <v>1200</v>
      </c>
      <c r="G23" s="43">
        <v>150</v>
      </c>
      <c r="I23" s="51">
        <f t="shared" si="0"/>
        <v>62400</v>
      </c>
      <c r="J23" s="51">
        <f t="shared" si="1"/>
        <v>124800</v>
      </c>
      <c r="L23" s="51">
        <f t="shared" si="2"/>
        <v>14400</v>
      </c>
      <c r="M23" s="51">
        <f t="shared" si="3"/>
        <v>28800</v>
      </c>
      <c r="N23" s="51">
        <f t="shared" si="4"/>
        <v>43200</v>
      </c>
    </row>
    <row r="24" spans="2:14">
      <c r="C24" s="51">
        <f t="shared" si="5"/>
        <v>416000</v>
      </c>
      <c r="D24" s="51">
        <f t="shared" si="6"/>
        <v>34666.666666666664</v>
      </c>
      <c r="E24" s="51">
        <f t="shared" si="7"/>
        <v>8000</v>
      </c>
      <c r="F24" s="51">
        <f t="shared" si="8"/>
        <v>1600</v>
      </c>
      <c r="G24" s="43">
        <v>200</v>
      </c>
      <c r="I24" s="51">
        <f t="shared" si="0"/>
        <v>83200</v>
      </c>
      <c r="J24" s="51">
        <f t="shared" si="1"/>
        <v>166400</v>
      </c>
      <c r="L24" s="51">
        <f t="shared" si="2"/>
        <v>19200</v>
      </c>
      <c r="M24" s="51">
        <f t="shared" si="3"/>
        <v>38400</v>
      </c>
      <c r="N24" s="51">
        <f t="shared" si="4"/>
        <v>57600</v>
      </c>
    </row>
    <row r="25" spans="2:14">
      <c r="C25" s="51">
        <f>D25*12</f>
        <v>519999.99999999994</v>
      </c>
      <c r="D25" s="51">
        <f t="shared" si="6"/>
        <v>43333.333333333328</v>
      </c>
      <c r="E25" s="51">
        <f t="shared" si="7"/>
        <v>10000</v>
      </c>
      <c r="F25" s="51">
        <f t="shared" si="8"/>
        <v>2000</v>
      </c>
      <c r="G25" s="43">
        <v>250</v>
      </c>
      <c r="I25" s="51">
        <f t="shared" si="0"/>
        <v>104000</v>
      </c>
      <c r="J25" s="51">
        <f t="shared" si="1"/>
        <v>208000</v>
      </c>
      <c r="L25" s="51">
        <f t="shared" si="2"/>
        <v>24000</v>
      </c>
      <c r="M25" s="51">
        <f t="shared" si="3"/>
        <v>48000</v>
      </c>
      <c r="N25" s="51">
        <f t="shared" si="4"/>
        <v>72000</v>
      </c>
    </row>
    <row r="26" spans="2:14">
      <c r="B26" s="283" t="s">
        <v>252</v>
      </c>
      <c r="C26" s="51">
        <f>D26*12</f>
        <v>255840</v>
      </c>
      <c r="D26" s="51">
        <f>E26*(52/12)</f>
        <v>21320</v>
      </c>
      <c r="E26" s="51">
        <f t="shared" ref="E26" si="9">F26*5</f>
        <v>4920</v>
      </c>
      <c r="F26" s="51">
        <f t="shared" ref="F26" si="10">G26*8</f>
        <v>984</v>
      </c>
      <c r="G26" s="43">
        <v>123</v>
      </c>
    </row>
    <row r="28" spans="2:14">
      <c r="B28" s="144" t="s">
        <v>83</v>
      </c>
      <c r="C28" s="144" t="s">
        <v>58</v>
      </c>
      <c r="D28" s="144" t="s">
        <v>59</v>
      </c>
      <c r="E28" s="144" t="s">
        <v>60</v>
      </c>
      <c r="F28" s="144" t="s">
        <v>61</v>
      </c>
      <c r="G28" s="144"/>
      <c r="H28" s="144" t="s">
        <v>62</v>
      </c>
      <c r="I28" s="144" t="s">
        <v>63</v>
      </c>
      <c r="J28" s="144" t="s">
        <v>64</v>
      </c>
      <c r="K28" s="144"/>
      <c r="L28" s="144"/>
      <c r="M28" s="144"/>
      <c r="N28" s="145"/>
    </row>
    <row r="29" spans="2:14">
      <c r="C29" s="43">
        <v>100</v>
      </c>
      <c r="D29" s="51">
        <f>$C29*8</f>
        <v>800</v>
      </c>
      <c r="E29" s="51">
        <f>$C29*16</f>
        <v>1600</v>
      </c>
      <c r="F29" s="51">
        <f>$C29*24</f>
        <v>2400</v>
      </c>
      <c r="H29" s="51">
        <f>$C29*40</f>
        <v>4000</v>
      </c>
      <c r="I29" s="51">
        <f>$C29*80</f>
        <v>8000</v>
      </c>
      <c r="J29" s="51">
        <f>$C29*120</f>
        <v>12000</v>
      </c>
      <c r="L29" s="51"/>
    </row>
    <row r="30" spans="2:14">
      <c r="C30" s="43">
        <v>120</v>
      </c>
      <c r="D30" s="51">
        <f t="shared" ref="D30:D32" si="11">$C30*8</f>
        <v>960</v>
      </c>
      <c r="E30" s="51">
        <f t="shared" ref="E30:E32" si="12">$C30*16</f>
        <v>1920</v>
      </c>
      <c r="F30" s="51">
        <f t="shared" ref="F30:F32" si="13">$C30*24</f>
        <v>2880</v>
      </c>
      <c r="H30" s="51">
        <f t="shared" ref="H30:H32" si="14">$C30*40</f>
        <v>4800</v>
      </c>
      <c r="I30" s="51">
        <f t="shared" ref="I30:I32" si="15">$C30*80</f>
        <v>9600</v>
      </c>
      <c r="J30" s="51">
        <f t="shared" ref="J30:J32" si="16">$C30*120</f>
        <v>14400</v>
      </c>
    </row>
    <row r="31" spans="2:14">
      <c r="C31" s="43">
        <v>150</v>
      </c>
      <c r="D31" s="51">
        <f t="shared" si="11"/>
        <v>1200</v>
      </c>
      <c r="E31" s="51">
        <f t="shared" si="12"/>
        <v>2400</v>
      </c>
      <c r="F31" s="51">
        <f t="shared" si="13"/>
        <v>3600</v>
      </c>
      <c r="H31" s="51">
        <f t="shared" si="14"/>
        <v>6000</v>
      </c>
      <c r="I31" s="51">
        <f t="shared" si="15"/>
        <v>12000</v>
      </c>
      <c r="J31" s="51">
        <f t="shared" si="16"/>
        <v>18000</v>
      </c>
    </row>
    <row r="32" spans="2:14">
      <c r="C32" s="43">
        <v>200</v>
      </c>
      <c r="D32" s="51">
        <f t="shared" si="11"/>
        <v>1600</v>
      </c>
      <c r="E32" s="51">
        <f t="shared" si="12"/>
        <v>3200</v>
      </c>
      <c r="F32" s="51">
        <f t="shared" si="13"/>
        <v>4800</v>
      </c>
      <c r="H32" s="51">
        <f t="shared" si="14"/>
        <v>8000</v>
      </c>
      <c r="I32" s="51">
        <f t="shared" si="15"/>
        <v>16000</v>
      </c>
      <c r="J32" s="51">
        <f t="shared" si="16"/>
        <v>24000</v>
      </c>
    </row>
    <row r="35" spans="2:22" ht="47.25">
      <c r="B35" s="144" t="s">
        <v>90</v>
      </c>
      <c r="C35" s="156" t="s">
        <v>91</v>
      </c>
      <c r="D35" s="157" t="s">
        <v>92</v>
      </c>
      <c r="E35" s="157" t="s">
        <v>93</v>
      </c>
      <c r="F35" s="157" t="s">
        <v>94</v>
      </c>
      <c r="G35" s="158" t="s">
        <v>95</v>
      </c>
      <c r="H35" s="145"/>
      <c r="I35" s="145"/>
      <c r="J35" s="145"/>
      <c r="K35" s="145"/>
      <c r="L35" s="145"/>
      <c r="M35" s="145"/>
      <c r="Q35" s="304"/>
    </row>
    <row r="36" spans="2:22">
      <c r="C36" s="159">
        <v>1</v>
      </c>
      <c r="D36" s="96">
        <f>F36*52</f>
        <v>2080</v>
      </c>
      <c r="E36" s="160">
        <f>D36/12</f>
        <v>173.33333333333334</v>
      </c>
      <c r="F36" s="96">
        <f>40</f>
        <v>40</v>
      </c>
      <c r="G36" s="161">
        <f>E36/8</f>
        <v>21.666666666666668</v>
      </c>
    </row>
    <row r="37" spans="2:22">
      <c r="C37" s="159">
        <v>0.75</v>
      </c>
      <c r="D37" s="96">
        <f t="shared" ref="D37:D45" si="17">F37*52</f>
        <v>1560</v>
      </c>
      <c r="E37" s="160">
        <f t="shared" ref="E37:E45" si="18">D37/12</f>
        <v>130</v>
      </c>
      <c r="F37" s="96">
        <f>C37*$F$36</f>
        <v>30</v>
      </c>
      <c r="G37" s="161">
        <f t="shared" ref="G37:G45" si="19">E37/8</f>
        <v>16.25</v>
      </c>
    </row>
    <row r="38" spans="2:22">
      <c r="C38" s="159">
        <v>0.5</v>
      </c>
      <c r="D38" s="96">
        <f t="shared" si="17"/>
        <v>1040</v>
      </c>
      <c r="E38" s="160">
        <f t="shared" si="18"/>
        <v>86.666666666666671</v>
      </c>
      <c r="F38" s="96">
        <f t="shared" ref="F38:F45" si="20">C38*$F$36</f>
        <v>20</v>
      </c>
      <c r="G38" s="161">
        <f t="shared" si="19"/>
        <v>10.833333333333334</v>
      </c>
      <c r="I38"/>
      <c r="J38"/>
      <c r="K38"/>
      <c r="L38"/>
      <c r="M38"/>
      <c r="N38"/>
      <c r="O38"/>
      <c r="P38"/>
    </row>
    <row r="39" spans="2:22">
      <c r="C39" s="159">
        <v>0.35</v>
      </c>
      <c r="D39" s="96">
        <f t="shared" si="17"/>
        <v>728</v>
      </c>
      <c r="E39" s="160">
        <f t="shared" si="18"/>
        <v>60.666666666666664</v>
      </c>
      <c r="F39" s="96">
        <f t="shared" si="20"/>
        <v>14</v>
      </c>
      <c r="G39" s="161">
        <f t="shared" si="19"/>
        <v>7.583333333333333</v>
      </c>
      <c r="I39"/>
      <c r="J39"/>
      <c r="K39"/>
      <c r="L39"/>
      <c r="M39"/>
      <c r="N39"/>
      <c r="O39"/>
      <c r="P39"/>
    </row>
    <row r="40" spans="2:22">
      <c r="C40" s="159">
        <v>0.2</v>
      </c>
      <c r="D40" s="96">
        <f t="shared" si="17"/>
        <v>416</v>
      </c>
      <c r="E40" s="160">
        <f t="shared" si="18"/>
        <v>34.666666666666664</v>
      </c>
      <c r="F40" s="96">
        <f t="shared" si="20"/>
        <v>8</v>
      </c>
      <c r="G40" s="161">
        <f t="shared" si="19"/>
        <v>4.333333333333333</v>
      </c>
      <c r="I40"/>
      <c r="J40"/>
      <c r="K40"/>
      <c r="L40"/>
      <c r="M40"/>
      <c r="N40"/>
      <c r="O40"/>
      <c r="P40"/>
    </row>
    <row r="41" spans="2:22">
      <c r="C41" s="159">
        <v>0.15</v>
      </c>
      <c r="D41" s="96">
        <f t="shared" si="17"/>
        <v>312</v>
      </c>
      <c r="E41" s="160">
        <f t="shared" si="18"/>
        <v>26</v>
      </c>
      <c r="F41" s="96">
        <f t="shared" si="20"/>
        <v>6</v>
      </c>
      <c r="G41" s="161">
        <f t="shared" si="19"/>
        <v>3.25</v>
      </c>
      <c r="I41"/>
      <c r="J41" s="202"/>
      <c r="K41" s="332"/>
      <c r="L41"/>
      <c r="M41"/>
      <c r="N41"/>
      <c r="O41"/>
      <c r="P41"/>
      <c r="Q41" s="222"/>
    </row>
    <row r="42" spans="2:22">
      <c r="C42" s="159">
        <v>0.1</v>
      </c>
      <c r="D42" s="96">
        <f t="shared" si="17"/>
        <v>208</v>
      </c>
      <c r="E42" s="160">
        <f t="shared" si="18"/>
        <v>17.333333333333332</v>
      </c>
      <c r="F42" s="96">
        <f t="shared" si="20"/>
        <v>4</v>
      </c>
      <c r="G42" s="161">
        <f t="shared" si="19"/>
        <v>2.1666666666666665</v>
      </c>
      <c r="I42"/>
      <c r="J42" s="332"/>
      <c r="K42"/>
      <c r="L42"/>
      <c r="M42"/>
      <c r="N42"/>
      <c r="O42"/>
      <c r="P42"/>
    </row>
    <row r="43" spans="2:22">
      <c r="C43" s="159">
        <v>0.05</v>
      </c>
      <c r="D43" s="96">
        <f t="shared" si="17"/>
        <v>104</v>
      </c>
      <c r="E43" s="160">
        <f t="shared" si="18"/>
        <v>8.6666666666666661</v>
      </c>
      <c r="F43" s="96">
        <f t="shared" si="20"/>
        <v>2</v>
      </c>
      <c r="G43" s="162">
        <f t="shared" si="19"/>
        <v>1.0833333333333333</v>
      </c>
      <c r="I43"/>
      <c r="J43"/>
      <c r="K43"/>
      <c r="L43"/>
      <c r="M43" s="202"/>
      <c r="N43"/>
      <c r="O43"/>
      <c r="P43"/>
    </row>
    <row r="44" spans="2:22">
      <c r="C44" s="159">
        <v>0.02</v>
      </c>
      <c r="D44" s="160">
        <f t="shared" si="17"/>
        <v>41.6</v>
      </c>
      <c r="E44" s="160">
        <f t="shared" si="18"/>
        <v>3.4666666666666668</v>
      </c>
      <c r="F44" s="96">
        <f t="shared" si="20"/>
        <v>0.8</v>
      </c>
      <c r="G44" s="162">
        <f t="shared" si="19"/>
        <v>0.43333333333333335</v>
      </c>
      <c r="I44"/>
      <c r="J44"/>
      <c r="K44"/>
      <c r="L44"/>
      <c r="M44"/>
      <c r="N44"/>
      <c r="O44"/>
      <c r="P44"/>
      <c r="V44" s="304"/>
    </row>
    <row r="45" spans="2:22">
      <c r="C45" s="163">
        <v>0.01</v>
      </c>
      <c r="D45" s="164">
        <f t="shared" si="17"/>
        <v>20.8</v>
      </c>
      <c r="E45" s="164">
        <f t="shared" si="18"/>
        <v>1.7333333333333334</v>
      </c>
      <c r="F45" s="165">
        <f t="shared" si="20"/>
        <v>0.4</v>
      </c>
      <c r="G45" s="166">
        <f t="shared" si="19"/>
        <v>0.21666666666666667</v>
      </c>
      <c r="I45"/>
      <c r="J45"/>
      <c r="K45"/>
      <c r="L45"/>
      <c r="M45"/>
      <c r="N45"/>
      <c r="O45"/>
      <c r="P45"/>
      <c r="V45" s="304"/>
    </row>
    <row r="46" spans="2:22">
      <c r="I46"/>
      <c r="J46"/>
      <c r="K46"/>
      <c r="L46"/>
      <c r="M46"/>
      <c r="N46"/>
      <c r="O46"/>
      <c r="P46"/>
      <c r="R46" s="304"/>
      <c r="V46" s="304"/>
    </row>
    <row r="47" spans="2:22">
      <c r="C47" s="432" t="s">
        <v>96</v>
      </c>
      <c r="D47" s="433"/>
      <c r="E47" s="434"/>
      <c r="F47" s="167" t="s">
        <v>97</v>
      </c>
      <c r="I47"/>
      <c r="J47"/>
      <c r="K47" s="202"/>
      <c r="L47"/>
      <c r="M47"/>
      <c r="N47"/>
      <c r="O47"/>
      <c r="P47" s="333"/>
      <c r="R47" s="304"/>
      <c r="V47" s="304"/>
    </row>
    <row r="48" spans="2:22">
      <c r="C48" s="168" t="s">
        <v>98</v>
      </c>
      <c r="D48" s="168" t="s">
        <v>100</v>
      </c>
      <c r="E48" s="168" t="s">
        <v>99</v>
      </c>
      <c r="F48" s="168" t="s">
        <v>101</v>
      </c>
      <c r="I48"/>
      <c r="J48"/>
      <c r="K48"/>
      <c r="L48"/>
      <c r="M48"/>
      <c r="N48"/>
      <c r="O48"/>
      <c r="P48" s="333"/>
      <c r="R48" s="304"/>
      <c r="V48" s="304"/>
    </row>
    <row r="49" spans="3:22">
      <c r="C49" s="169">
        <v>240</v>
      </c>
      <c r="D49" s="170"/>
      <c r="E49" s="170"/>
      <c r="F49" s="171">
        <f>C49/D36</f>
        <v>0.11538461538461539</v>
      </c>
      <c r="P49" s="333"/>
      <c r="R49" s="304"/>
      <c r="V49" s="304"/>
    </row>
    <row r="50" spans="3:22">
      <c r="C50" s="170"/>
      <c r="D50" s="169">
        <v>8</v>
      </c>
      <c r="E50" s="170"/>
      <c r="F50" s="171">
        <f>D50/E36</f>
        <v>4.6153846153846149E-2</v>
      </c>
      <c r="M50" s="270"/>
      <c r="P50" s="333"/>
      <c r="R50" s="304"/>
      <c r="V50" s="304"/>
    </row>
    <row r="51" spans="3:22">
      <c r="C51" s="170"/>
      <c r="D51" s="170"/>
      <c r="E51" s="169">
        <v>3</v>
      </c>
      <c r="F51" s="171">
        <f>E51/F36</f>
        <v>7.4999999999999997E-2</v>
      </c>
      <c r="V51" s="304"/>
    </row>
    <row r="53" spans="3:22">
      <c r="C53" s="304"/>
      <c r="J53" s="304"/>
      <c r="K53" s="51"/>
      <c r="M53" s="51"/>
      <c r="O53" s="339"/>
    </row>
    <row r="54" spans="3:22">
      <c r="H54" s="63"/>
      <c r="J54" s="304"/>
      <c r="K54" s="51"/>
      <c r="M54" s="51"/>
    </row>
    <row r="55" spans="3:22">
      <c r="C55" s="304"/>
      <c r="F55" s="270"/>
      <c r="J55" s="304"/>
      <c r="K55" s="51"/>
      <c r="M55" s="51"/>
      <c r="O55" s="222"/>
      <c r="Q55" s="304"/>
    </row>
    <row r="56" spans="3:22">
      <c r="C56" s="304"/>
      <c r="F56" s="270"/>
      <c r="J56" s="304"/>
      <c r="K56" s="51"/>
      <c r="M56" s="51"/>
    </row>
    <row r="57" spans="3:22">
      <c r="C57" s="305"/>
      <c r="D57" s="32"/>
      <c r="E57" s="32"/>
      <c r="F57" s="270"/>
      <c r="G57" s="32"/>
      <c r="J57" s="304"/>
      <c r="K57" s="51"/>
      <c r="M57" s="51"/>
      <c r="O57" s="51"/>
      <c r="Q57" s="342"/>
    </row>
    <row r="58" spans="3:22">
      <c r="C58" s="305"/>
      <c r="D58" s="32"/>
      <c r="E58" s="32"/>
      <c r="F58" s="270"/>
      <c r="G58" s="32"/>
      <c r="J58" s="304"/>
      <c r="K58" s="51"/>
      <c r="M58" s="341"/>
      <c r="O58" s="222"/>
    </row>
    <row r="59" spans="3:22">
      <c r="C59" s="305"/>
      <c r="D59" s="32"/>
      <c r="E59" s="32"/>
      <c r="F59" s="270"/>
      <c r="G59" s="32"/>
      <c r="J59" s="31"/>
      <c r="K59" s="340"/>
      <c r="L59" s="31"/>
      <c r="M59" s="340"/>
      <c r="Q59" s="342"/>
    </row>
    <row r="60" spans="3:22">
      <c r="C60" s="305"/>
      <c r="D60" s="32"/>
      <c r="E60" s="32"/>
      <c r="F60" s="335"/>
      <c r="G60" s="32"/>
    </row>
    <row r="61" spans="3:22">
      <c r="C61" s="305"/>
      <c r="D61" s="32"/>
      <c r="E61" s="32"/>
      <c r="F61" s="335"/>
      <c r="G61" s="32"/>
      <c r="O61" s="222"/>
      <c r="U61" s="63"/>
    </row>
    <row r="62" spans="3:22">
      <c r="C62" s="305"/>
      <c r="D62" s="32"/>
      <c r="E62" s="305"/>
      <c r="F62" s="335"/>
      <c r="G62" s="32"/>
      <c r="Q62" s="222"/>
    </row>
    <row r="63" spans="3:22">
      <c r="C63" s="305"/>
      <c r="D63" s="32"/>
      <c r="E63" s="305"/>
      <c r="F63" s="335"/>
      <c r="G63" s="32"/>
      <c r="K63" s="342"/>
    </row>
    <row r="64" spans="3:22">
      <c r="C64" s="305"/>
      <c r="D64" s="32"/>
      <c r="E64" s="32"/>
      <c r="F64" s="335"/>
      <c r="G64" s="32"/>
      <c r="J64" s="328"/>
    </row>
    <row r="65" spans="3:15">
      <c r="C65" s="32"/>
      <c r="D65" s="32"/>
      <c r="E65" s="32"/>
      <c r="F65" s="32"/>
      <c r="G65" s="32"/>
      <c r="O65" s="342"/>
    </row>
    <row r="66" spans="3:15">
      <c r="C66" s="32"/>
      <c r="D66" s="32"/>
      <c r="E66" s="32"/>
      <c r="F66" s="32"/>
      <c r="G66" s="32"/>
      <c r="L66" s="63"/>
      <c r="O66" s="328"/>
    </row>
    <row r="67" spans="3:15">
      <c r="C67" s="305"/>
      <c r="D67" s="336"/>
      <c r="E67" s="32"/>
      <c r="F67" s="335"/>
      <c r="G67" s="32"/>
      <c r="M67" s="51"/>
    </row>
    <row r="68" spans="3:15">
      <c r="C68" s="32"/>
      <c r="D68" s="32"/>
      <c r="E68" s="32"/>
      <c r="F68" s="32"/>
      <c r="G68" s="32"/>
      <c r="K68" s="328"/>
    </row>
    <row r="69" spans="3:15">
      <c r="C69" s="32"/>
      <c r="D69" s="32"/>
      <c r="E69" s="32"/>
      <c r="F69" s="32"/>
      <c r="G69" s="32"/>
      <c r="I69" s="328"/>
    </row>
    <row r="70" spans="3:15">
      <c r="C70" s="32"/>
      <c r="D70" s="32"/>
      <c r="E70" s="32"/>
      <c r="F70" s="32"/>
      <c r="G70" s="32"/>
    </row>
    <row r="75" spans="3:15">
      <c r="L75" s="63"/>
    </row>
  </sheetData>
  <mergeCells count="1">
    <mergeCell ref="C47:E47"/>
  </mergeCells>
  <phoneticPr fontId="8" type="noConversion"/>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(2016)</vt:lpstr>
      <vt:lpstr>Category Detail (2016)</vt:lpstr>
      <vt:lpstr>Category (2015-2019)</vt:lpstr>
      <vt:lpstr>NPCC In Kind</vt:lpstr>
      <vt:lpstr>Funding Shares</vt:lpstr>
      <vt:lpstr>Typical Rates</vt:lpstr>
      <vt:lpstr>'NPCC In Kind'!Print_Area</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Jennifer Light</cp:lastModifiedBy>
  <cp:lastPrinted>2012-09-14T17:01:32Z</cp:lastPrinted>
  <dcterms:created xsi:type="dcterms:W3CDTF">2010-11-30T20:23:00Z</dcterms:created>
  <dcterms:modified xsi:type="dcterms:W3CDTF">2015-11-16T18:29:13Z</dcterms:modified>
</cp:coreProperties>
</file>