
<file path=[Content_Types].xml><?xml version="1.0" encoding="utf-8"?>
<Types xmlns="http://schemas.openxmlformats.org/package/2006/content-types">
  <Override PartName="/xl/charts/chart6.xml" ContentType="application/vnd.openxmlformats-officedocument.drawingml.chart+xml"/>
  <Override PartName="/xl/charts/chart7.xml" ContentType="application/vnd.openxmlformats-officedocument.drawingml.chart+xml"/>
  <Default Extension="bin" ContentType="application/vnd.openxmlformats-officedocument.spreadsheetml.printerSettings"/>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autoCompressPictures="0" defaultThemeVersion="124226"/>
  <bookViews>
    <workbookView xWindow="-255" yWindow="975" windowWidth="15480" windowHeight="7635" tabRatio="818"/>
  </bookViews>
  <sheets>
    <sheet name="Table of Contents" sheetId="9" r:id="rId1"/>
    <sheet name="Category (2014)" sheetId="14" r:id="rId2"/>
    <sheet name="Category Detail (2014)" sheetId="13" r:id="rId3"/>
    <sheet name="Category (2014-2016)" sheetId="8" r:id="rId4"/>
    <sheet name="NPCC In Kind" sheetId="6" r:id="rId5"/>
    <sheet name="Typical Rates" sheetId="5" r:id="rId6"/>
    <sheet name="Funding Shares" sheetId="10" r:id="rId7"/>
  </sheets>
  <definedNames>
    <definedName name="_xlnm.Print_Area" localSheetId="4">'NPCC In Kind'!$U$4:$AA$24</definedName>
  </definedNames>
  <calcPr calcId="125725"/>
  <extLst>
    <ext xmlns:mx="http://schemas.microsoft.com/office/mac/excel/2008/main" uri="http://schemas.microsoft.com/office/mac/excel/2008/main">
      <mx:ArchID Flags="2"/>
    </ext>
  </extLst>
</workbook>
</file>

<file path=xl/calcChain.xml><?xml version="1.0" encoding="utf-8"?>
<calcChain xmlns="http://schemas.openxmlformats.org/spreadsheetml/2006/main">
  <c r="Q125" i="14"/>
  <c r="Q123"/>
  <c r="P125"/>
  <c r="P123"/>
  <c r="O125"/>
  <c r="O123"/>
  <c r="K10" i="13"/>
  <c r="K12"/>
  <c r="AB12" i="14" l="1"/>
  <c r="AA12"/>
  <c r="AB9"/>
  <c r="AA9"/>
  <c r="AB6"/>
  <c r="AA6"/>
  <c r="Z12"/>
  <c r="Z9"/>
  <c r="Z6"/>
  <c r="X12"/>
  <c r="W12"/>
  <c r="V12"/>
  <c r="X9"/>
  <c r="W9"/>
  <c r="V9"/>
  <c r="X6"/>
  <c r="W6"/>
  <c r="V6"/>
  <c r="AA15" l="1"/>
  <c r="AK7" s="1"/>
  <c r="AB15"/>
  <c r="Z15"/>
  <c r="AK6" s="1"/>
  <c r="R15" l="1"/>
  <c r="P15"/>
  <c r="O15"/>
  <c r="Q15"/>
  <c r="L15"/>
  <c r="J15"/>
  <c r="I15"/>
  <c r="W15"/>
  <c r="AJ7" s="1"/>
  <c r="V15"/>
  <c r="AJ6" s="1"/>
  <c r="K15"/>
  <c r="B2"/>
  <c r="R3" i="8"/>
  <c r="D34" i="13"/>
  <c r="S11" i="14" l="1"/>
  <c r="S7"/>
  <c r="S8"/>
  <c r="S13"/>
  <c r="S9"/>
  <c r="S14"/>
  <c r="S10"/>
  <c r="S6"/>
  <c r="S12"/>
  <c r="M6"/>
  <c r="M11"/>
  <c r="M7"/>
  <c r="M9"/>
  <c r="M10"/>
  <c r="M12"/>
  <c r="M8"/>
  <c r="M13"/>
  <c r="M14"/>
  <c r="AJ8"/>
  <c r="AK8"/>
  <c r="X15"/>
  <c r="Y9" s="1"/>
  <c r="B19" i="13"/>
  <c r="C14"/>
  <c r="B13"/>
  <c r="C13"/>
  <c r="B11"/>
  <c r="C11"/>
  <c r="B64"/>
  <c r="AC12" i="14" l="1"/>
  <c r="AC9"/>
  <c r="Y12"/>
  <c r="Y6"/>
  <c r="D13" i="13"/>
  <c r="D11"/>
  <c r="M15" i="14" l="1"/>
  <c r="S15"/>
  <c r="Y15"/>
  <c r="H14" i="13"/>
  <c r="B14" s="1"/>
  <c r="D14" s="1"/>
  <c r="F25" i="6" l="1"/>
  <c r="E25"/>
  <c r="G19"/>
  <c r="F28"/>
  <c r="F26"/>
  <c r="E26"/>
  <c r="F21"/>
  <c r="F22" s="1"/>
  <c r="E21"/>
  <c r="E22" s="1"/>
  <c r="G20"/>
  <c r="G18"/>
  <c r="G17"/>
  <c r="G16"/>
  <c r="G15"/>
  <c r="G14"/>
  <c r="G13"/>
  <c r="G12"/>
  <c r="G11"/>
  <c r="G10"/>
  <c r="G9"/>
  <c r="G8"/>
  <c r="G7"/>
  <c r="E21" i="13"/>
  <c r="C21"/>
  <c r="B21"/>
  <c r="G25" i="6" l="1"/>
  <c r="G26" s="1"/>
  <c r="G21"/>
  <c r="G22" s="1"/>
  <c r="D21" i="13"/>
  <c r="F4" i="6" l="1"/>
  <c r="K19" i="13" l="1"/>
  <c r="E27" l="1"/>
  <c r="E29" s="1"/>
  <c r="F8" i="14" s="1"/>
  <c r="B27" i="13"/>
  <c r="D27" s="1"/>
  <c r="D35"/>
  <c r="D59"/>
  <c r="D58"/>
  <c r="C45"/>
  <c r="D10" i="14" s="1"/>
  <c r="B45" i="13"/>
  <c r="C10" i="14" s="1"/>
  <c r="L28" i="6"/>
  <c r="M20"/>
  <c r="E74" i="13"/>
  <c r="L25" i="6"/>
  <c r="L26" s="1"/>
  <c r="K25"/>
  <c r="K26" s="1"/>
  <c r="R4"/>
  <c r="F14" i="8" l="1"/>
  <c r="R14" s="1"/>
  <c r="F14" i="14"/>
  <c r="L21" i="6"/>
  <c r="K21"/>
  <c r="C8" i="10"/>
  <c r="L14" i="8" l="1"/>
  <c r="D28" i="13"/>
  <c r="B21" i="8" l="1"/>
  <c r="D72" i="13" l="1"/>
  <c r="C26" l="1"/>
  <c r="F8" i="8" l="1"/>
  <c r="C29" i="13"/>
  <c r="D10" i="8"/>
  <c r="J10" s="1"/>
  <c r="P10" s="1"/>
  <c r="D44" i="13"/>
  <c r="C10" i="8"/>
  <c r="D8" l="1"/>
  <c r="J8" s="1"/>
  <c r="P8" s="1"/>
  <c r="D8" i="14"/>
  <c r="L8" i="8"/>
  <c r="R8"/>
  <c r="D42" i="13"/>
  <c r="B29"/>
  <c r="E43"/>
  <c r="D43"/>
  <c r="E11"/>
  <c r="E14"/>
  <c r="E51"/>
  <c r="B51"/>
  <c r="D56"/>
  <c r="D32"/>
  <c r="D36"/>
  <c r="A2"/>
  <c r="C8" i="8" l="1"/>
  <c r="C8" i="14"/>
  <c r="F11" i="8"/>
  <c r="L11" s="1"/>
  <c r="F11" i="14"/>
  <c r="C11" i="8"/>
  <c r="C11" i="14"/>
  <c r="R11" i="8"/>
  <c r="A15" i="13"/>
  <c r="B10"/>
  <c r="C10"/>
  <c r="E10"/>
  <c r="B12"/>
  <c r="C12"/>
  <c r="E12"/>
  <c r="E13"/>
  <c r="A22"/>
  <c r="C19"/>
  <c r="E19"/>
  <c r="B20"/>
  <c r="C20"/>
  <c r="E20"/>
  <c r="A29"/>
  <c r="D26"/>
  <c r="D29" s="1"/>
  <c r="E8" i="14" s="1"/>
  <c r="D33" i="13"/>
  <c r="A37"/>
  <c r="B37"/>
  <c r="C37"/>
  <c r="E37"/>
  <c r="A45"/>
  <c r="D41"/>
  <c r="D45" s="1"/>
  <c r="E10" i="14" s="1"/>
  <c r="A51" i="13"/>
  <c r="D49"/>
  <c r="C50"/>
  <c r="C51" s="1"/>
  <c r="A60"/>
  <c r="D55"/>
  <c r="D57"/>
  <c r="B60"/>
  <c r="C60"/>
  <c r="E60"/>
  <c r="A66"/>
  <c r="D64"/>
  <c r="D65"/>
  <c r="B66"/>
  <c r="C66"/>
  <c r="E66"/>
  <c r="F13" i="14" s="1"/>
  <c r="D70" i="13"/>
  <c r="D71"/>
  <c r="D73"/>
  <c r="A74"/>
  <c r="B74"/>
  <c r="C74"/>
  <c r="D13" i="8" l="1"/>
  <c r="J13" s="1"/>
  <c r="P13" s="1"/>
  <c r="D13" i="14"/>
  <c r="F9" i="8"/>
  <c r="R9" s="1"/>
  <c r="F9" i="14"/>
  <c r="D11" i="8"/>
  <c r="J11" s="1"/>
  <c r="P11" s="1"/>
  <c r="D11" i="14"/>
  <c r="C14" i="8"/>
  <c r="C14" i="14"/>
  <c r="D14" i="8"/>
  <c r="J14" s="1"/>
  <c r="P14" s="1"/>
  <c r="D14" i="14"/>
  <c r="C13" i="8"/>
  <c r="C13" i="14"/>
  <c r="D12" i="8"/>
  <c r="J12" s="1"/>
  <c r="P12" s="1"/>
  <c r="D12" i="14"/>
  <c r="AE12" s="1"/>
  <c r="C12" i="8"/>
  <c r="C12" i="14"/>
  <c r="AD12" s="1"/>
  <c r="F12" i="8"/>
  <c r="R12" s="1"/>
  <c r="F12" i="14"/>
  <c r="C9" i="8"/>
  <c r="C9" i="14"/>
  <c r="AD9" s="1"/>
  <c r="D9" i="8"/>
  <c r="J9" s="1"/>
  <c r="P9" s="1"/>
  <c r="D9" i="14"/>
  <c r="AE9" s="1"/>
  <c r="L9" i="8"/>
  <c r="B22" i="13"/>
  <c r="C7" i="14" s="1"/>
  <c r="C22" i="13"/>
  <c r="E22"/>
  <c r="E8" i="8"/>
  <c r="B84" i="13"/>
  <c r="E45"/>
  <c r="F10" i="14" s="1"/>
  <c r="E10" i="8"/>
  <c r="F13"/>
  <c r="C15" i="13"/>
  <c r="E15"/>
  <c r="B15"/>
  <c r="C6" i="14" s="1"/>
  <c r="D37" i="13"/>
  <c r="E9" i="14" s="1"/>
  <c r="D66" i="13"/>
  <c r="D20"/>
  <c r="D10"/>
  <c r="D19"/>
  <c r="D12"/>
  <c r="D60"/>
  <c r="D74"/>
  <c r="D50"/>
  <c r="D51" s="1"/>
  <c r="E11" i="14" s="1"/>
  <c r="D7" i="8" l="1"/>
  <c r="J7" s="1"/>
  <c r="P7" s="1"/>
  <c r="D7" i="14"/>
  <c r="E14" i="8"/>
  <c r="E14" i="14"/>
  <c r="F7" i="8"/>
  <c r="L7" s="1"/>
  <c r="F7" i="14"/>
  <c r="E13" i="8"/>
  <c r="E13" i="14"/>
  <c r="AF9"/>
  <c r="E12" i="8"/>
  <c r="E12" i="14"/>
  <c r="AF12" s="1"/>
  <c r="L12" i="8"/>
  <c r="F6"/>
  <c r="R6" s="1"/>
  <c r="F6" i="14"/>
  <c r="F15" s="1"/>
  <c r="D6" i="8"/>
  <c r="J6" s="1"/>
  <c r="P6" s="1"/>
  <c r="D6" i="14"/>
  <c r="C15"/>
  <c r="AD6"/>
  <c r="AD15" s="1"/>
  <c r="AL6" s="1"/>
  <c r="L13" i="8"/>
  <c r="R13"/>
  <c r="L6"/>
  <c r="B82" i="13"/>
  <c r="B83" s="1"/>
  <c r="D22"/>
  <c r="E11" i="8"/>
  <c r="C6"/>
  <c r="F10"/>
  <c r="C7"/>
  <c r="E9"/>
  <c r="I14"/>
  <c r="O14" s="1"/>
  <c r="D15" i="13"/>
  <c r="E77"/>
  <c r="B86" s="1"/>
  <c r="B77"/>
  <c r="C77"/>
  <c r="E7" i="8" l="1"/>
  <c r="E7" i="14"/>
  <c r="R7" i="8"/>
  <c r="B85" i="13"/>
  <c r="E6" i="8"/>
  <c r="E6" i="14"/>
  <c r="AE6"/>
  <c r="AE15" s="1"/>
  <c r="AL7" s="1"/>
  <c r="AL8" s="1"/>
  <c r="D15"/>
  <c r="L10" i="8"/>
  <c r="R10"/>
  <c r="K14"/>
  <c r="Q14" s="1"/>
  <c r="D77" i="13"/>
  <c r="C15" i="8"/>
  <c r="F15"/>
  <c r="D15"/>
  <c r="D16" s="1"/>
  <c r="R15" l="1"/>
  <c r="E15" i="14"/>
  <c r="G6" s="1"/>
  <c r="AF6"/>
  <c r="F45" i="13"/>
  <c r="F51"/>
  <c r="F37"/>
  <c r="F22"/>
  <c r="F15"/>
  <c r="F29"/>
  <c r="E15" i="8"/>
  <c r="C33"/>
  <c r="D7" i="13"/>
  <c r="F74"/>
  <c r="F66"/>
  <c r="F60"/>
  <c r="B81"/>
  <c r="B80"/>
  <c r="A2" i="10"/>
  <c r="B2" i="8"/>
  <c r="G13" i="14" l="1"/>
  <c r="G9"/>
  <c r="G8"/>
  <c r="G10"/>
  <c r="G14"/>
  <c r="G12"/>
  <c r="G7"/>
  <c r="G11"/>
  <c r="AF15"/>
  <c r="AG6" s="1"/>
  <c r="F77" i="13"/>
  <c r="G15" i="14" l="1"/>
  <c r="AG12"/>
  <c r="AC6"/>
  <c r="AC15" s="1"/>
  <c r="AG9"/>
  <c r="B22" i="10"/>
  <c r="AG15" i="14" l="1"/>
  <c r="B2" i="5"/>
  <c r="B2" i="6"/>
  <c r="B20" i="8"/>
  <c r="B19"/>
  <c r="F41" i="5" l="1"/>
  <c r="D41" s="1"/>
  <c r="E41" s="1"/>
  <c r="G41" s="1"/>
  <c r="F45"/>
  <c r="D45" s="1"/>
  <c r="E45" s="1"/>
  <c r="G45" s="1"/>
  <c r="F36"/>
  <c r="F51" s="1"/>
  <c r="I8" i="8" l="1"/>
  <c r="O8" s="1"/>
  <c r="I9"/>
  <c r="O9" s="1"/>
  <c r="D36" i="5"/>
  <c r="E36" s="1"/>
  <c r="G36" s="1"/>
  <c r="F37"/>
  <c r="D37" s="1"/>
  <c r="E37" s="1"/>
  <c r="G37" s="1"/>
  <c r="F42"/>
  <c r="D42" s="1"/>
  <c r="E42" s="1"/>
  <c r="G42" s="1"/>
  <c r="F38"/>
  <c r="D38" s="1"/>
  <c r="E38" s="1"/>
  <c r="G38" s="1"/>
  <c r="F49"/>
  <c r="F43"/>
  <c r="D43" s="1"/>
  <c r="E43" s="1"/>
  <c r="G43" s="1"/>
  <c r="F39"/>
  <c r="D39" s="1"/>
  <c r="E39" s="1"/>
  <c r="G39" s="1"/>
  <c r="F44"/>
  <c r="D44" s="1"/>
  <c r="E44" s="1"/>
  <c r="G44" s="1"/>
  <c r="F40"/>
  <c r="D40" s="1"/>
  <c r="E40" s="1"/>
  <c r="G40" s="1"/>
  <c r="K8" i="8" l="1"/>
  <c r="Q8" s="1"/>
  <c r="K9"/>
  <c r="Q9" s="1"/>
  <c r="F50" i="5"/>
  <c r="X20" i="6" l="1"/>
  <c r="X21" s="1"/>
  <c r="W20"/>
  <c r="W21" s="1"/>
  <c r="L22"/>
  <c r="K22"/>
  <c r="AH19"/>
  <c r="AF19"/>
  <c r="AE19"/>
  <c r="Y19"/>
  <c r="M19"/>
  <c r="Y18"/>
  <c r="M18"/>
  <c r="AG17"/>
  <c r="Y17"/>
  <c r="M17"/>
  <c r="AG16"/>
  <c r="Y16"/>
  <c r="M16"/>
  <c r="AG15"/>
  <c r="Y15"/>
  <c r="M15"/>
  <c r="AG14"/>
  <c r="Y14"/>
  <c r="M14"/>
  <c r="AG13"/>
  <c r="Y13"/>
  <c r="M13"/>
  <c r="AG12"/>
  <c r="Y12"/>
  <c r="M12"/>
  <c r="AG11"/>
  <c r="Y11"/>
  <c r="M11"/>
  <c r="AG10"/>
  <c r="Y10"/>
  <c r="M10"/>
  <c r="AG9"/>
  <c r="Y9"/>
  <c r="M9"/>
  <c r="AG8"/>
  <c r="Y8"/>
  <c r="M8"/>
  <c r="AG7"/>
  <c r="Y7"/>
  <c r="M7"/>
  <c r="H30" i="5"/>
  <c r="I30"/>
  <c r="J30"/>
  <c r="H31"/>
  <c r="I31"/>
  <c r="J31"/>
  <c r="H32"/>
  <c r="I32"/>
  <c r="J32"/>
  <c r="J29"/>
  <c r="I29"/>
  <c r="H29"/>
  <c r="F30"/>
  <c r="F31"/>
  <c r="F32"/>
  <c r="F29"/>
  <c r="E30"/>
  <c r="E31"/>
  <c r="E32"/>
  <c r="E29"/>
  <c r="D30"/>
  <c r="D31"/>
  <c r="D32"/>
  <c r="D29"/>
  <c r="F19"/>
  <c r="E19" s="1"/>
  <c r="D19" s="1"/>
  <c r="C19" s="1"/>
  <c r="F21"/>
  <c r="I21" s="1"/>
  <c r="J21" s="1"/>
  <c r="F22"/>
  <c r="I22" s="1"/>
  <c r="J22" s="1"/>
  <c r="F23"/>
  <c r="L23" s="1"/>
  <c r="F24"/>
  <c r="I24" s="1"/>
  <c r="J24" s="1"/>
  <c r="F25"/>
  <c r="L25" s="1"/>
  <c r="F20"/>
  <c r="E20" s="1"/>
  <c r="D20" s="1"/>
  <c r="C20" s="1"/>
  <c r="M25" i="6" l="1"/>
  <c r="M26" s="1"/>
  <c r="M21"/>
  <c r="L4" s="1"/>
  <c r="AG19"/>
  <c r="AE20" s="1"/>
  <c r="Y20"/>
  <c r="Y21" s="1"/>
  <c r="E25" i="5"/>
  <c r="D25" s="1"/>
  <c r="C25" s="1"/>
  <c r="E21"/>
  <c r="D21" s="1"/>
  <c r="C21" s="1"/>
  <c r="I23"/>
  <c r="J23" s="1"/>
  <c r="I19"/>
  <c r="J19" s="1"/>
  <c r="E24"/>
  <c r="D24" s="1"/>
  <c r="C24" s="1"/>
  <c r="L24"/>
  <c r="L19"/>
  <c r="L21"/>
  <c r="M21" s="1"/>
  <c r="E22"/>
  <c r="D22" s="1"/>
  <c r="C22" s="1"/>
  <c r="M25"/>
  <c r="N25"/>
  <c r="I25"/>
  <c r="J25" s="1"/>
  <c r="L22"/>
  <c r="I20"/>
  <c r="J20" s="1"/>
  <c r="L20"/>
  <c r="M23"/>
  <c r="N23"/>
  <c r="AF20" i="6"/>
  <c r="Z4"/>
  <c r="E23" i="5"/>
  <c r="D23" s="1"/>
  <c r="C23" s="1"/>
  <c r="M22" i="6" l="1"/>
  <c r="AH4"/>
  <c r="AI19"/>
  <c r="AE21" s="1"/>
  <c r="AA20"/>
  <c r="I11" i="8"/>
  <c r="O11" s="1"/>
  <c r="I12"/>
  <c r="O12" s="1"/>
  <c r="I10"/>
  <c r="O10" s="1"/>
  <c r="I13"/>
  <c r="O13" s="1"/>
  <c r="M19" i="5"/>
  <c r="N19"/>
  <c r="N24"/>
  <c r="M24"/>
  <c r="N21"/>
  <c r="N20"/>
  <c r="M20"/>
  <c r="M22"/>
  <c r="N22"/>
  <c r="AF21" i="6"/>
  <c r="K12" i="8" l="1"/>
  <c r="Q12" s="1"/>
  <c r="K10"/>
  <c r="Q10" s="1"/>
  <c r="K13"/>
  <c r="Q13" s="1"/>
  <c r="C41"/>
  <c r="C34"/>
  <c r="C42"/>
  <c r="C35"/>
  <c r="I7"/>
  <c r="O7" s="1"/>
  <c r="I6"/>
  <c r="O6" s="1"/>
  <c r="C19"/>
  <c r="C25" s="1"/>
  <c r="C40"/>
  <c r="E42" l="1"/>
  <c r="E35"/>
  <c r="R16"/>
  <c r="E29" s="1"/>
  <c r="F21"/>
  <c r="E28" s="1"/>
  <c r="O15"/>
  <c r="C21" s="1"/>
  <c r="E25" s="1"/>
  <c r="K11"/>
  <c r="D35"/>
  <c r="D42"/>
  <c r="L15"/>
  <c r="L16" s="1"/>
  <c r="D29" s="1"/>
  <c r="C43"/>
  <c r="C36"/>
  <c r="D19"/>
  <c r="C26" s="1"/>
  <c r="F19"/>
  <c r="C28" s="1"/>
  <c r="F16"/>
  <c r="C29" s="1"/>
  <c r="K6"/>
  <c r="Q6" s="1"/>
  <c r="I15"/>
  <c r="C20" s="1"/>
  <c r="D25" s="1"/>
  <c r="E19"/>
  <c r="C27" s="1"/>
  <c r="K7"/>
  <c r="Q7" s="1"/>
  <c r="J15"/>
  <c r="J16" s="1"/>
  <c r="D34" l="1"/>
  <c r="Q11"/>
  <c r="D41"/>
  <c r="E33"/>
  <c r="E40"/>
  <c r="P15"/>
  <c r="P16" s="1"/>
  <c r="K15"/>
  <c r="E20" s="1"/>
  <c r="D27" s="1"/>
  <c r="F20"/>
  <c r="D28" s="1"/>
  <c r="D40"/>
  <c r="D33"/>
  <c r="D20"/>
  <c r="D26" s="1"/>
  <c r="D36" l="1"/>
  <c r="D43"/>
  <c r="Q15"/>
  <c r="E21" s="1"/>
  <c r="E27" s="1"/>
  <c r="E34"/>
  <c r="E36" s="1"/>
  <c r="E41"/>
  <c r="E43" s="1"/>
  <c r="D21"/>
  <c r="E26" s="1"/>
  <c r="C18" i="10"/>
  <c r="D18" s="1"/>
  <c r="C17"/>
  <c r="D17" s="1"/>
  <c r="C11"/>
  <c r="D11" s="1"/>
  <c r="D8"/>
  <c r="C16"/>
  <c r="D16" s="1"/>
  <c r="C12"/>
  <c r="D12" s="1"/>
  <c r="C19"/>
  <c r="D19" s="1"/>
  <c r="C20"/>
  <c r="D20" s="1"/>
  <c r="C14"/>
  <c r="C13"/>
  <c r="D13" s="1"/>
  <c r="C10"/>
  <c r="D10" s="1"/>
  <c r="C9"/>
  <c r="D9" s="1"/>
  <c r="C15"/>
  <c r="D15" s="1"/>
  <c r="D22" l="1"/>
  <c r="C22"/>
</calcChain>
</file>

<file path=xl/comments1.xml><?xml version="1.0" encoding="utf-8"?>
<comments xmlns="http://schemas.openxmlformats.org/spreadsheetml/2006/main">
  <authors>
    <author>Charlie Grist</author>
  </authors>
  <commentList>
    <comment ref="C8" authorId="0">
      <text>
        <r>
          <rPr>
            <sz val="9"/>
            <color indexed="81"/>
            <rFont val="Tahoma"/>
            <family val="2"/>
          </rPr>
          <t xml:space="preserve">RTF staff costs for measure review include management of QC contractor deliverables, subcommittee staffing, bringing proposals to RTF, crafting presentations, and depositing results of RTF decisions into RTF library as appropriate. </t>
        </r>
      </text>
    </comment>
    <comment ref="J8" authorId="0">
      <text>
        <r>
          <rPr>
            <sz val="9"/>
            <color indexed="81"/>
            <rFont val="Tahoma"/>
            <family val="2"/>
          </rPr>
          <t>Does not include RTF Manager. Reduced Tom &amp; Charlie Technical Staff Work by half</t>
        </r>
      </text>
    </comment>
  </commentList>
</comments>
</file>

<file path=xl/comments2.xml><?xml version="1.0" encoding="utf-8"?>
<comments xmlns="http://schemas.openxmlformats.org/spreadsheetml/2006/main">
  <authors>
    <author>Charlie Grist</author>
  </authors>
  <commentList>
    <comment ref="E2" authorId="0">
      <text>
        <r>
          <rPr>
            <b/>
            <sz val="9"/>
            <color indexed="81"/>
            <rFont val="Tahoma"/>
            <family val="2"/>
          </rPr>
          <t>Charlie Grist:</t>
        </r>
        <r>
          <rPr>
            <sz val="9"/>
            <color indexed="81"/>
            <rFont val="Tahoma"/>
            <family val="2"/>
          </rPr>
          <t xml:space="preserve">
Updated estimate from Terry Morlan September 2011</t>
        </r>
      </text>
    </comment>
    <comment ref="K2" authorId="0">
      <text>
        <r>
          <rPr>
            <b/>
            <sz val="9"/>
            <color indexed="81"/>
            <rFont val="Tahoma"/>
            <family val="2"/>
          </rPr>
          <t>Charlie Grist:</t>
        </r>
        <r>
          <rPr>
            <sz val="9"/>
            <color indexed="81"/>
            <rFont val="Tahoma"/>
            <family val="2"/>
          </rPr>
          <t xml:space="preserve">
Updated estimate from Terry Morlan September 2011</t>
        </r>
      </text>
    </comment>
    <comment ref="Z6" authorId="0">
      <text>
        <r>
          <rPr>
            <b/>
            <sz val="9"/>
            <color indexed="81"/>
            <rFont val="Tahoma"/>
            <family val="2"/>
          </rPr>
          <t>Charlie Grist:</t>
        </r>
        <r>
          <rPr>
            <sz val="9"/>
            <color indexed="81"/>
            <rFont val="Tahoma"/>
            <family val="2"/>
          </rPr>
          <t xml:space="preserve">
Use average staff rate times overhead multiplier of 1.4 from Sharon Ossmann</t>
        </r>
      </text>
    </comment>
    <comment ref="Z20" authorId="0">
      <text>
        <r>
          <rPr>
            <b/>
            <sz val="9"/>
            <color indexed="81"/>
            <rFont val="Tahoma"/>
            <family val="2"/>
          </rPr>
          <t>Charlie Grist:</t>
        </r>
        <r>
          <rPr>
            <sz val="9"/>
            <color indexed="81"/>
            <rFont val="Tahoma"/>
            <family val="2"/>
          </rPr>
          <t xml:space="preserve">
Use average staff rate times overhead multiplier of 1.4.</t>
        </r>
      </text>
    </comment>
  </commentList>
</comments>
</file>

<file path=xl/comments3.xml><?xml version="1.0" encoding="utf-8"?>
<comments xmlns="http://schemas.openxmlformats.org/spreadsheetml/2006/main">
  <authors>
    <author>Charlie Grist</author>
  </authors>
  <commentList>
    <comment ref="C4" authorId="0">
      <text>
        <r>
          <rPr>
            <b/>
            <sz val="9"/>
            <color indexed="81"/>
            <rFont val="Tahoma"/>
            <family val="2"/>
          </rPr>
          <t xml:space="preserve">Charlie Grist:  </t>
        </r>
        <r>
          <rPr>
            <sz val="9"/>
            <color indexed="81"/>
            <rFont val="Tahoma"/>
            <family val="2"/>
          </rPr>
          <t xml:space="preserve">Includes estimates of contractor costs, RTF staff costs, and Council staff costs.
Contractor costs include all costs billable to RTF for contracts awarded. 
RTF staff costs include project management, contractor management, subcommittee management, technical analysis, preparing presentations for RTF meetings and depositing RTF decisions in the RTF library.
Council staff costs for UES and protocols include direct administrative costs such as contract, fiscal and business operations to write and manage contracts plus technical analysis.  </t>
        </r>
      </text>
    </comment>
  </commentList>
</comments>
</file>

<file path=xl/sharedStrings.xml><?xml version="1.0" encoding="utf-8"?>
<sst xmlns="http://schemas.openxmlformats.org/spreadsheetml/2006/main" count="504" uniqueCount="297">
  <si>
    <t>Coordinate annual comparison of utility/SBC administrator TRM</t>
  </si>
  <si>
    <t>Price Forecast, Carbon, Renewables</t>
  </si>
  <si>
    <t xml:space="preserve">Jeff King </t>
  </si>
  <si>
    <t>Jo-Ann Black</t>
  </si>
  <si>
    <t>Admin/Travel</t>
  </si>
  <si>
    <t>Analytics &amp; Modeling</t>
  </si>
  <si>
    <t>Michael Osborne</t>
  </si>
  <si>
    <t>Billing</t>
  </si>
  <si>
    <t>Eric Schrepel</t>
  </si>
  <si>
    <t>Bill Hannaford</t>
  </si>
  <si>
    <t>Legal &amp; Contracts</t>
  </si>
  <si>
    <t>Sharon Ossmann</t>
  </si>
  <si>
    <t>Admin Div Director</t>
  </si>
  <si>
    <t>Sandra Hirotsu</t>
  </si>
  <si>
    <t>Terry Morlan</t>
  </si>
  <si>
    <t>Planning Div Director</t>
  </si>
  <si>
    <t>Financials &amp; Contracts</t>
  </si>
  <si>
    <t>Judi Hertz</t>
  </si>
  <si>
    <t>RTF PAC &amp; Management</t>
  </si>
  <si>
    <t>Note</t>
  </si>
  <si>
    <t>RTF Members and Corresponding Members meeting and project support.</t>
  </si>
  <si>
    <t>RTF Member Support &amp; Administration</t>
  </si>
  <si>
    <t>Subtotal New Work</t>
  </si>
  <si>
    <t>1 day/wk</t>
  </si>
  <si>
    <t>2 day/wk</t>
  </si>
  <si>
    <t>1 day/mo</t>
  </si>
  <si>
    <t>2 day/mo</t>
  </si>
  <si>
    <t>3 day/mo</t>
  </si>
  <si>
    <t>RTF Staff cost per unit</t>
  </si>
  <si>
    <t>Council Staff cost per unit</t>
  </si>
  <si>
    <t>Research Projects &amp; Data Development</t>
  </si>
  <si>
    <t>Estimate of NPCC Staff Administration Cost for RTF (2011)</t>
  </si>
  <si>
    <t>FTE</t>
  </si>
  <si>
    <t>Estimate of NPCC Staff Administration Cost for RTF (2010)</t>
  </si>
  <si>
    <t>Name</t>
  </si>
  <si>
    <t>Admin Area</t>
  </si>
  <si>
    <t>Estimated Fraction of Time on RTF Administration</t>
  </si>
  <si>
    <t>Estimated Fraction of Time on RTF Technical Work</t>
  </si>
  <si>
    <t>Total Fraction FTE to RTF</t>
  </si>
  <si>
    <t>All-In Rate Annual</t>
  </si>
  <si>
    <t>Total In-Kind Cost</t>
  </si>
  <si>
    <t>Gillian Charles</t>
  </si>
  <si>
    <t>RTF Business Manager</t>
  </si>
  <si>
    <t>Tom Eckman</t>
  </si>
  <si>
    <t>RTF Chair</t>
  </si>
  <si>
    <t>Charlie Grist</t>
  </si>
  <si>
    <t>RTF Vice Chair</t>
  </si>
  <si>
    <t>Massoud Jourabchi</t>
  </si>
  <si>
    <t>Load Forecast Economics</t>
  </si>
  <si>
    <t>Ken Dragoon</t>
  </si>
  <si>
    <t xml:space="preserve">Website, Database support, Conservation Tracking </t>
  </si>
  <si>
    <t>Category</t>
  </si>
  <si>
    <t>Standardization of Technical Analysis</t>
  </si>
  <si>
    <t>RTF Management</t>
  </si>
  <si>
    <t>Existing Measure Review &amp; Updates</t>
  </si>
  <si>
    <t>Month</t>
  </si>
  <si>
    <t>Week</t>
  </si>
  <si>
    <t>Day</t>
  </si>
  <si>
    <t>Hour</t>
  </si>
  <si>
    <t>Annual</t>
  </si>
  <si>
    <t>Rate</t>
  </si>
  <si>
    <t>1 Day</t>
  </si>
  <si>
    <t>2 Day</t>
  </si>
  <si>
    <t>3 Day</t>
  </si>
  <si>
    <t>1 Week</t>
  </si>
  <si>
    <t>2 Week</t>
  </si>
  <si>
    <t>3 Week</t>
  </si>
  <si>
    <t>Contracts</t>
  </si>
  <si>
    <t>Tool Development</t>
  </si>
  <si>
    <t>New Measure Development &amp; Review of Unsolicited Proposals</t>
  </si>
  <si>
    <t>Subtotal Funders</t>
  </si>
  <si>
    <t>Council Staff</t>
  </si>
  <si>
    <t>n units</t>
  </si>
  <si>
    <t>Contract cost per unit</t>
  </si>
  <si>
    <t>Regional Coordination</t>
  </si>
  <si>
    <t>Review New UES developed by a proposer</t>
  </si>
  <si>
    <t>Staff Ongoing Subcommittee (one meeting/mo)</t>
  </si>
  <si>
    <t>Midpoint.  Some more expensive, some less.</t>
  </si>
  <si>
    <t>Assumes the proposer delivers a well-developed proposal that meets Guideline standards</t>
  </si>
  <si>
    <t>Assume a contractor does much of the key development, research, data analysis, and presentation</t>
  </si>
  <si>
    <t>Review New Protocol &amp; Calculator developed by a proposer</t>
  </si>
  <si>
    <t>Assume RTF contractor does much of the key development, research, data analysis, and presentation</t>
  </si>
  <si>
    <t>Develop Guideline-compliant standard protocol (no calculator)</t>
  </si>
  <si>
    <t>Large range depending on scope and complexity</t>
  </si>
  <si>
    <t>Estimate based on initial round of review, document and update to Guideline standards</t>
  </si>
  <si>
    <t>Technical Work Rates</t>
  </si>
  <si>
    <t>Cost</t>
  </si>
  <si>
    <t>Once updated to Guideline standards, the cost of review declines</t>
  </si>
  <si>
    <t>Review of source data and analysis required by staff &amp; subcommittee</t>
  </si>
  <si>
    <t>Periodic Salary Estimates</t>
  </si>
  <si>
    <t>Enter all-in staff rate</t>
  </si>
  <si>
    <t>RTF Business Manager (contracts, web, data)</t>
  </si>
  <si>
    <t>Percent of Year</t>
  </si>
  <si>
    <t>Percent of time</t>
  </si>
  <si>
    <t>Hours per year</t>
  </si>
  <si>
    <t>Hours per Month</t>
  </si>
  <si>
    <t>Hours per Week</t>
  </si>
  <si>
    <t>Days per Month</t>
  </si>
  <si>
    <t>Inputs</t>
  </si>
  <si>
    <t>Result</t>
  </si>
  <si>
    <t>hrs/year</t>
  </si>
  <si>
    <t>hrs/week</t>
  </si>
  <si>
    <t>hrs/mo</t>
  </si>
  <si>
    <t>Percent time</t>
  </si>
  <si>
    <t>Develop New UES with RTF resources</t>
  </si>
  <si>
    <t>Enter Values in these columns for UES/Protocol</t>
  </si>
  <si>
    <t>Cells are linked to worksheet  "Category"</t>
  </si>
  <si>
    <t>Grayed out text for deferred or eliminated work</t>
  </si>
  <si>
    <t>Annual Report</t>
  </si>
  <si>
    <t>Calendar 2014</t>
  </si>
  <si>
    <t>Scale Factor</t>
  </si>
  <si>
    <t>Decrease after initial push to document methods and standards.</t>
  </si>
  <si>
    <t>Increase assuming regional value.</t>
  </si>
  <si>
    <t>Constant.</t>
  </si>
  <si>
    <t>Sheet Name</t>
  </si>
  <si>
    <t>Notes</t>
  </si>
  <si>
    <t>Estimate of NPCC In-Kind Costs</t>
  </si>
  <si>
    <t>Table of Contents</t>
  </si>
  <si>
    <t>Typical Rates for RTF Activities</t>
  </si>
  <si>
    <t>NPCC In Kind</t>
  </si>
  <si>
    <t>Typical Rates</t>
  </si>
  <si>
    <t>Breakdown of NPCC staff cost estimates.</t>
  </si>
  <si>
    <t>Organization</t>
  </si>
  <si>
    <t>Share of RTF Budget</t>
  </si>
  <si>
    <t>Proposed Contribution to RTF Budget Rounded</t>
  </si>
  <si>
    <t>Total</t>
  </si>
  <si>
    <t>Bonneville Power Administration</t>
  </si>
  <si>
    <t>Energy Trust of Oregon</t>
  </si>
  <si>
    <t>Puget Sound Energy</t>
  </si>
  <si>
    <t>Idaho Power Company</t>
  </si>
  <si>
    <t>Avista Corporation, Inc</t>
  </si>
  <si>
    <t>PacifiCorp</t>
  </si>
  <si>
    <t>Seattle City Light</t>
  </si>
  <si>
    <t>Clark Public Utilities</t>
  </si>
  <si>
    <t>Tacoma Power</t>
  </si>
  <si>
    <t>PUD #1 of Snohomish</t>
  </si>
  <si>
    <t>Eugene Water and Electric Board</t>
  </si>
  <si>
    <t>PUD #1 of Cowlitz County</t>
  </si>
  <si>
    <t xml:space="preserve">NEEA Funding Shares (as of January 2010) </t>
  </si>
  <si>
    <t>Estimated Funding Shares</t>
  </si>
  <si>
    <t>Based on Funding Level</t>
  </si>
  <si>
    <t>Funding Shares</t>
  </si>
  <si>
    <t>Collect and Summarize Evaluation activity and spending by Utilities, BPA, ETO</t>
  </si>
  <si>
    <t xml:space="preserve">Manage RTF work flow, develop agenda &amp; procedures &amp; budgets &amp; SOWs </t>
  </si>
  <si>
    <t>Michael Schilmoeller</t>
  </si>
  <si>
    <t>Web Site, Databases</t>
  </si>
  <si>
    <t>Typical cost for common RTF activities</t>
  </si>
  <si>
    <t>Assumes proposer delivers a well-developed proposal that meets Guideline standards</t>
  </si>
  <si>
    <t>Northwestern Energy</t>
  </si>
  <si>
    <t>CY 2014</t>
  </si>
  <si>
    <t>Council Staff In Kind Contribution</t>
  </si>
  <si>
    <t>Council Staff FTE</t>
  </si>
  <si>
    <t>Measure Review &amp; Technical Analysis</t>
  </si>
  <si>
    <t>Tools, Research, Data &amp; Regional Coordination</t>
  </si>
  <si>
    <t>Total Including Council</t>
  </si>
  <si>
    <t>Council Staff In-Kind Contribution</t>
  </si>
  <si>
    <t>Subtotal
Funders</t>
  </si>
  <si>
    <t>* Northwestern's contribution fixed at $30,000.  The RTF will adjust its work plan accordingly.</t>
  </si>
  <si>
    <t>Estimate of NPCC Staff Administration Cost for RTF (2013)</t>
  </si>
  <si>
    <t>Convert old deemed measure to Proven UES</t>
  </si>
  <si>
    <t xml:space="preserve">Periodic Update of Proven UES </t>
  </si>
  <si>
    <t>Provisional to Proven UES</t>
  </si>
  <si>
    <t>End Use Load Data Library Development and Maintenance</t>
  </si>
  <si>
    <t xml:space="preserve">Manage RTF business activities, contracts, financial, bylaws, RTF PAC </t>
  </si>
  <si>
    <t>Bring Provisional UES measures to Proven Category</t>
  </si>
  <si>
    <t>Review &amp; Develop Research Plans for Out of Compliance Measures</t>
  </si>
  <si>
    <t>Bring Provisional Protocols to Proven Category</t>
  </si>
  <si>
    <t>ECAM Development and ongoing maintenance</t>
  </si>
  <si>
    <t>Review Seventh Power Plan Inputs and Supply Curves</t>
  </si>
  <si>
    <t>Develop New Measures for Small &amp; Rural utilities</t>
  </si>
  <si>
    <t>Detail by Category</t>
  </si>
  <si>
    <t>TRM - Technical Resource Manuals. Comparison used as basis for determining which non-RTF measures/protocols held "in common".  Helps prioritize RTF work plan elements.</t>
  </si>
  <si>
    <t>Typically one to two meetings per month for active subcommittees</t>
  </si>
  <si>
    <t>Update  Guidelines</t>
  </si>
  <si>
    <t>Develop a Standard Protocol</t>
  </si>
  <si>
    <t>Develop Standard Protocol and Calculator</t>
  </si>
  <si>
    <t>Produce a Calculator for a Standard Protocol</t>
  </si>
  <si>
    <t>RTF Outreach and Training</t>
  </si>
  <si>
    <t>RTF Meetings, phone, web conference, meeting minutes</t>
  </si>
  <si>
    <t>Calendar 2015</t>
  </si>
  <si>
    <t>CY 2015</t>
  </si>
  <si>
    <t>Three year work plan by category.  No detail for out years.  Uses scaling factors for category level totals.</t>
  </si>
  <si>
    <t xml:space="preserve"> </t>
  </si>
  <si>
    <t>% of total</t>
  </si>
  <si>
    <t>Funding shares by sponsors based on  NEEA formula previously used.  RTF Policy Advisory Committee is considering other funding share options for the future.</t>
  </si>
  <si>
    <t>Expect this to be part of RTF member duties to review measures applicable to the RTF and council. Convene outside review panel for non-RTF UES estimates for 7th plan</t>
  </si>
  <si>
    <t>Sub-section % of total</t>
  </si>
  <si>
    <t>Steve Simmons/Gillian Charles</t>
  </si>
  <si>
    <t>Charlie Black</t>
  </si>
  <si>
    <t>Council Staff (In-Kind)</t>
  </si>
  <si>
    <t>Technical Analysis</t>
  </si>
  <si>
    <t xml:space="preserve">Tool Development, Research, Regional Coordination </t>
  </si>
  <si>
    <t>Administration</t>
  </si>
  <si>
    <t>RTF Contract Staff 
2013</t>
  </si>
  <si>
    <t>Contract RFP</t>
  </si>
  <si>
    <t>Contract Staff</t>
  </si>
  <si>
    <t>Nick O'Neil</t>
  </si>
  <si>
    <t>RTF Manager</t>
  </si>
  <si>
    <t>Estimate of NPCC Staff Administration Cost for RTF (2012)</t>
  </si>
  <si>
    <t>Approved 2013</t>
  </si>
  <si>
    <t xml:space="preserve">
RTF Contract Staff</t>
  </si>
  <si>
    <t>RTF Contract Staff</t>
  </si>
  <si>
    <t>Category (2014)</t>
  </si>
  <si>
    <t>Category-level budget for 2014.  High-level division of RTF work product categories.  The pink rows are scalable – number of measure reviews or guidelines  per year for example.  The green rows are more or less optional activities that have been requested by the RTF or are thought to be useful.  The blue rows are fixed costs the RTF must bear.  All data in this sheet are linked to the sheet “Category Detail” so don’t change things here.</t>
  </si>
  <si>
    <t>Category Detail (2014)</t>
  </si>
  <si>
    <t>Detailed budget for 2014.  Breaks down the high-level divisions into specific elements with specific costs and specific pacing for each.  This is the formative stuff.   If you make changes please make them here.  Add or remove rows, change unit count or cost per unit.  Rows with grayed out text indicate deferred or eliminated activities.</t>
  </si>
  <si>
    <t>Category (2014-2016)</t>
  </si>
  <si>
    <t>Contract RFP
2014</t>
  </si>
  <si>
    <t>RTF Contract Staff 
2014</t>
  </si>
  <si>
    <t>Subtotal Funders 
2014</t>
  </si>
  <si>
    <t>Council In-Kind Contribution 2014</t>
  </si>
  <si>
    <t>Subtotal Funders 2013</t>
  </si>
  <si>
    <t>Contract RFP 
2013</t>
  </si>
  <si>
    <t>Budget Category Detail Worksheet for 2014</t>
  </si>
  <si>
    <t>Total New Work 2014</t>
  </si>
  <si>
    <t>Continuation of work Warren Cook was undertaking in 2013 but needed to defer until BPA implemented specifications, which is expected Q1 of 2014.</t>
  </si>
  <si>
    <t>Calendar 2016</t>
  </si>
  <si>
    <t>CY 2016</t>
  </si>
  <si>
    <t>Category Level Budget for 2014-2016</t>
  </si>
  <si>
    <t>Update Lighting and HVAC interaction Factors with CBSA data</t>
  </si>
  <si>
    <t>Website: Data Request Portal Development</t>
  </si>
  <si>
    <t>Update Active UES Measures slated to sunset in 2014</t>
  </si>
  <si>
    <t>Assume update to Grocery Refrigeration protocol. May require outside contract help due to 3rd party software.</t>
  </si>
  <si>
    <t>General task order for misc. updates to Guidelines, including possible development of training materials, presentations, and review of protocols with respect to Guidelines.</t>
  </si>
  <si>
    <t>ProCost: Engine updates and ongoing maintenance</t>
  </si>
  <si>
    <t>Removing ProCost from measure workbooks and updating to include modifications done in 2013 for 8760 analysis.</t>
  </si>
  <si>
    <t>Ongoing maintenance to further refine ECAM for use in standard protocol calculations.</t>
  </si>
  <si>
    <t>Proposed 2014</t>
  </si>
  <si>
    <t>Standard Protocol Calculator template design</t>
  </si>
  <si>
    <t>Develop calculator template and borrow previously developed calculation modules for consistent design of SP calculators.</t>
  </si>
  <si>
    <t>Measure Assessment Template Standardization</t>
  </si>
  <si>
    <t>Update Standard Protocols currently Out Of Compliance with Guidelines</t>
  </si>
  <si>
    <t>Five expected, 3 placeholders: Cold Climate DHP, DHP (site built FAF), ASHP for MH, PTCS duct sealing for NC, Open-Loop GSHP). Assumes proposers do most development work.</t>
  </si>
  <si>
    <t>Phase II of Air Sealing Research</t>
  </si>
  <si>
    <t>Annual Regional Conservation Tracking Report</t>
  </si>
  <si>
    <t>RTF Manager, RTF Staff and manager time spent on improving general RTF processes.</t>
  </si>
  <si>
    <t>Cost $2,500 in 2013 but expect more in 2014 for additional content related to 3-year roll-up.</t>
  </si>
  <si>
    <t>Guidelines training, webinars, presentations related to RTF matters.</t>
  </si>
  <si>
    <t>RTF member support for meetings, travel, and specific project reviews.</t>
  </si>
  <si>
    <t>Website: Data Warehousing and Data Collection Portal</t>
  </si>
  <si>
    <t>Ongoing management and maintenance with website functions including measure database management.</t>
  </si>
  <si>
    <t>Website: Development and Management</t>
  </si>
  <si>
    <t>Creation of web portal to allow outside entities to submit data stemming from research plans and projects not being presented at RTF otherwise.</t>
  </si>
  <si>
    <t>Creation of web portal to allow outside entities to submit data when requested by RTF for measures and protocols.</t>
  </si>
  <si>
    <t>Using recently acquired CBSA data, update HVAC lighting interaction factors for use in lighting SP and council power plans.</t>
  </si>
  <si>
    <t>Assume BPA reporting tool not functional until 2015. Requires RTF and Council financial support to obtain utility level conservation reporting.</t>
  </si>
  <si>
    <t>Review New UES Measures (Either Known or Unsolicited)</t>
  </si>
  <si>
    <t>Review New Standard Protocols (Either Known or Unsolicited)</t>
  </si>
  <si>
    <t>None currently known, however placeholder for 2.</t>
  </si>
  <si>
    <t>With RTF Manager as part of RTF funds</t>
  </si>
  <si>
    <t>Estimate of NPCC Staff Administration Cost for RTF (2014)</t>
  </si>
  <si>
    <t>RTF Annual Report</t>
  </si>
  <si>
    <t>Melissa Shavlik</t>
  </si>
  <si>
    <t>RTF Vice Chair (RTF PAC liaison)</t>
  </si>
  <si>
    <t>Aggar Assefa</t>
  </si>
  <si>
    <t>PAC materials preparation, RTF relations to Council, contract and task order development, various business activities.</t>
  </si>
  <si>
    <t>Adding infiltration and foundation temp data and calibration from RBSA survey and metering results, standardize internal gains calculator, update HPWH performance curves, updated documentation and creation of users guide. Staff may take on updated user interface.</t>
  </si>
  <si>
    <t>Purpose is to help collate regional research to aid in research plan development. Fee is task 2/2 for Eval. Facilitator.</t>
  </si>
  <si>
    <t>SEEM: Updates using RBSA data and further documentation</t>
  </si>
  <si>
    <t>Cells are linked to worksheet "Category Detail (2014)"</t>
  </si>
  <si>
    <t>Hold constant through 2015 to get through all existing measures and protocols. Decrease in cost of updates beginning 2016 cycle.</t>
  </si>
  <si>
    <t>Increase rate of new measure and protocol development at beginning of 2015 cycle.</t>
  </si>
  <si>
    <t>Decrease pace of tool development as SEEM and Procost become more standardized.</t>
  </si>
  <si>
    <t>Relatively constant, with increase assumed for increasing member costs (travel, etc.) over time</t>
  </si>
  <si>
    <t>Shift Council staff duties to RTF Contract staff or new Council staff as procedures become standardized.</t>
  </si>
  <si>
    <t>Develop Cost-Effectiveness volume of Guidelines</t>
  </si>
  <si>
    <t>Equivalent RTF Staff FTE:</t>
  </si>
  <si>
    <t>Equivalent Council Staff FTE:</t>
  </si>
  <si>
    <t>QC Contract amount allocated:</t>
  </si>
  <si>
    <t>WORK PLAN METRICS</t>
  </si>
  <si>
    <t>% Split by Allocation (Contract RFP):</t>
  </si>
  <si>
    <t>% Split by Allocation (Contract Staff):</t>
  </si>
  <si>
    <t>Council In-Kind workload split (Technical):</t>
  </si>
  <si>
    <t>Council In-Kind workload split (Admin):</t>
  </si>
  <si>
    <t xml:space="preserve">Assumptions used to estimate approximate costs of contractor, and RTF staff work.  Use as a reference.    </t>
  </si>
  <si>
    <t>Minutes $24K, phone/web conference $7K, Lunches $7K. Council in-kind for member support during meetings.</t>
  </si>
  <si>
    <t>SEEM Calibration</t>
  </si>
  <si>
    <t>Finalizing efforts of the SEEM calibration for Manufactured Homes and Multi-Family based on regression development accepted by the RTF in 2013.</t>
  </si>
  <si>
    <t>Guidelines updates</t>
  </si>
  <si>
    <t>Includes partial funding for Research &amp; Eval Facilitator to review research plans. Staff prepares updates and helps craft plans. (Com: Fridge Decom, RTU VFDs, Strip curtains, Vending Machine, Visi-cooler, walk-in/reach-in door, 5 placeholders for leftover 2013 OOC measures.)</t>
  </si>
  <si>
    <t>Continuation of work on new section to provide guidance on cost-effectiveness for measures.</t>
  </si>
  <si>
    <t>Inflation rate:</t>
  </si>
  <si>
    <t>Approved 2012</t>
  </si>
  <si>
    <t>Contract RFP 
2012</t>
  </si>
  <si>
    <t>RTF Contract Staff 
2012</t>
  </si>
  <si>
    <t>Subtotal Funders 2012</t>
  </si>
  <si>
    <t>*Note: Adjusted from $1.5 to $1.473 for equal comparison</t>
  </si>
  <si>
    <t>Contract RFP 2012</t>
  </si>
  <si>
    <t>Contract RFP
2013</t>
  </si>
  <si>
    <t>Subtotal Funders 
2013</t>
  </si>
  <si>
    <t>Category Level Budget &amp; 3-year look back</t>
  </si>
  <si>
    <t>Website: Measure application database development</t>
  </si>
  <si>
    <t>Functionality added to pull application level savings, cost, life information out of workbooks for easy sorting on website. Added funds for potential 3rd party contract help, council funds for IT time, and RTF staff help for organizing workbooks and database cleanup</t>
  </si>
  <si>
    <t>Based on findings of increased staff time to develop with subcommittee involvement. (SIS, Compressed Air, CVR and Voltage Optimization, Behavior). Assume staff does most of the development and 3rd party contractor reviews.)</t>
  </si>
  <si>
    <t>MAT cleanup and standardization to help outside users better navigate complex workbooks.</t>
  </si>
  <si>
    <r>
      <t>Expect that various end-uses will be entered in to newly developed</t>
    </r>
    <r>
      <rPr>
        <sz val="12"/>
        <rFont val="Calibri"/>
        <family val="2"/>
        <scheme val="minor"/>
      </rPr>
      <t xml:space="preserve"> database, and some maintenance may be needed. Additional contract funds for incorporating channel leve data from ELCAP into current database.</t>
    </r>
  </si>
  <si>
    <t>Final - Adopted by RTF on October 15, Approved by Council on November 5.</t>
  </si>
</sst>
</file>

<file path=xl/styles.xml><?xml version="1.0" encoding="utf-8"?>
<styleSheet xmlns="http://schemas.openxmlformats.org/spreadsheetml/2006/main">
  <numFmts count="13">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0.0"/>
    <numFmt numFmtId="167" formatCode="[$-409]mmmm\ d\,\ yyyy;@"/>
    <numFmt numFmtId="168" formatCode="#,##0.0_);\(#,##0.0\)"/>
    <numFmt numFmtId="169" formatCode="0.0%"/>
    <numFmt numFmtId="170" formatCode="_(&quot;$&quot;* #,##0.0_);_(&quot;$&quot;* \(#,##0.0\);_(&quot;$&quot;* &quot;-&quot;??_);_(@_)"/>
    <numFmt numFmtId="171" formatCode="&quot;$&quot;#,##0"/>
    <numFmt numFmtId="172" formatCode="&quot;$&quot;#,##0.00"/>
  </numFmts>
  <fonts count="21">
    <font>
      <sz val="11"/>
      <color theme="1"/>
      <name val="Calibri"/>
      <family val="2"/>
      <scheme val="minor"/>
    </font>
    <font>
      <sz val="11"/>
      <color indexed="8"/>
      <name val="Calibri"/>
      <family val="2"/>
    </font>
    <font>
      <sz val="10"/>
      <name val="Arial"/>
      <family val="2"/>
    </font>
    <font>
      <b/>
      <sz val="11"/>
      <color theme="1"/>
      <name val="Calibri"/>
      <family val="2"/>
      <scheme val="minor"/>
    </font>
    <font>
      <b/>
      <sz val="9"/>
      <color indexed="81"/>
      <name val="Tahoma"/>
      <family val="2"/>
    </font>
    <font>
      <sz val="9"/>
      <color indexed="81"/>
      <name val="Tahoma"/>
      <family val="2"/>
    </font>
    <font>
      <i/>
      <sz val="11"/>
      <color theme="1"/>
      <name val="Calibri"/>
      <family val="2"/>
      <scheme val="minor"/>
    </font>
    <font>
      <sz val="8"/>
      <name val="Verdana"/>
      <family val="2"/>
    </font>
    <font>
      <sz val="11"/>
      <color theme="1"/>
      <name val="Calibri"/>
      <family val="2"/>
      <scheme val="minor"/>
    </font>
    <font>
      <b/>
      <sz val="12"/>
      <color indexed="8"/>
      <name val="Calibri"/>
      <family val="2"/>
      <scheme val="minor"/>
    </font>
    <font>
      <sz val="12"/>
      <name val="Calibri"/>
      <family val="2"/>
      <scheme val="minor"/>
    </font>
    <font>
      <sz val="12"/>
      <color indexed="8"/>
      <name val="Calibri"/>
      <family val="2"/>
      <scheme val="minor"/>
    </font>
    <font>
      <sz val="12"/>
      <color theme="1"/>
      <name val="Calibri"/>
      <family val="2"/>
      <scheme val="minor"/>
    </font>
    <font>
      <sz val="12"/>
      <color rgb="FF00B050"/>
      <name val="Calibri"/>
      <family val="2"/>
      <scheme val="minor"/>
    </font>
    <font>
      <i/>
      <sz val="12"/>
      <color theme="1"/>
      <name val="Calibri"/>
      <family val="2"/>
      <scheme val="minor"/>
    </font>
    <font>
      <b/>
      <sz val="12"/>
      <color theme="1"/>
      <name val="Calibri"/>
      <family val="2"/>
      <scheme val="minor"/>
    </font>
    <font>
      <sz val="12"/>
      <color indexed="11"/>
      <name val="Calibri"/>
      <family val="2"/>
      <scheme val="minor"/>
    </font>
    <font>
      <b/>
      <sz val="12"/>
      <name val="Calibri"/>
      <family val="2"/>
      <scheme val="minor"/>
    </font>
    <font>
      <sz val="12"/>
      <name val="Calibri"/>
      <family val="2"/>
    </font>
    <font>
      <sz val="12"/>
      <color indexed="11"/>
      <name val="Calibri"/>
      <family val="2"/>
    </font>
    <font>
      <b/>
      <sz val="14"/>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41"/>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indexed="15"/>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5" tint="0.79998168889431442"/>
        <bgColor indexed="64"/>
      </patternFill>
    </fill>
    <fill>
      <patternFill patternType="solid">
        <fgColor rgb="FF00B0F0"/>
        <bgColor indexed="64"/>
      </patternFill>
    </fill>
    <fill>
      <patternFill patternType="solid">
        <fgColor theme="0" tint="-0.14999847407452621"/>
        <bgColor indexed="64"/>
      </patternFill>
    </fill>
  </fills>
  <borders count="3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s>
  <cellStyleXfs count="9">
    <xf numFmtId="0" fontId="0" fillId="0" borderId="0"/>
    <xf numFmtId="44" fontId="1"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cellStyleXfs>
  <cellXfs count="315">
    <xf numFmtId="0" fontId="0" fillId="0" borderId="0" xfId="0"/>
    <xf numFmtId="0" fontId="6" fillId="0" borderId="0" xfId="0" applyFont="1"/>
    <xf numFmtId="0" fontId="0" fillId="0" borderId="0" xfId="0" applyFill="1"/>
    <xf numFmtId="0" fontId="0" fillId="0" borderId="0" xfId="0" applyBorder="1"/>
    <xf numFmtId="167" fontId="6" fillId="0" borderId="0" xfId="0" applyNumberFormat="1" applyFont="1" applyAlignment="1">
      <alignment horizontal="left"/>
    </xf>
    <xf numFmtId="0" fontId="6" fillId="0" borderId="0" xfId="0" applyFont="1" applyFill="1"/>
    <xf numFmtId="164" fontId="0" fillId="0" borderId="0" xfId="0" applyNumberFormat="1" applyBorder="1"/>
    <xf numFmtId="164" fontId="3" fillId="0" borderId="19" xfId="0" applyNumberFormat="1" applyFont="1" applyBorder="1"/>
    <xf numFmtId="0" fontId="3" fillId="0" borderId="21" xfId="0" applyFont="1" applyFill="1" applyBorder="1" applyAlignment="1">
      <alignment wrapText="1"/>
    </xf>
    <xf numFmtId="0" fontId="3" fillId="0" borderId="0" xfId="0" applyFont="1" applyFill="1" applyBorder="1" applyAlignment="1">
      <alignment wrapText="1"/>
    </xf>
    <xf numFmtId="5" fontId="3" fillId="0" borderId="0" xfId="0" applyNumberFormat="1" applyFont="1" applyBorder="1" applyAlignment="1">
      <alignment horizontal="center" vertical="center"/>
    </xf>
    <xf numFmtId="0" fontId="0" fillId="0" borderId="16" xfId="0" applyFill="1" applyBorder="1"/>
    <xf numFmtId="169" fontId="0" fillId="0" borderId="0" xfId="0" applyNumberFormat="1"/>
    <xf numFmtId="0" fontId="0" fillId="0" borderId="0" xfId="0" applyFont="1"/>
    <xf numFmtId="5" fontId="0" fillId="17" borderId="2" xfId="0" applyNumberFormat="1" applyFont="1" applyFill="1" applyBorder="1" applyAlignment="1">
      <alignment horizontal="center" vertical="center"/>
    </xf>
    <xf numFmtId="0" fontId="9" fillId="0" borderId="0" xfId="0" applyFont="1" applyAlignment="1">
      <alignment wrapText="1"/>
    </xf>
    <xf numFmtId="0" fontId="9" fillId="16" borderId="0" xfId="0" applyFont="1" applyFill="1"/>
    <xf numFmtId="0" fontId="9" fillId="16" borderId="0" xfId="0" applyFont="1" applyFill="1" applyAlignment="1">
      <alignment wrapText="1"/>
    </xf>
    <xf numFmtId="0" fontId="10" fillId="16" borderId="0" xfId="0" applyFont="1" applyFill="1"/>
    <xf numFmtId="0" fontId="11" fillId="16" borderId="0" xfId="0" applyFont="1" applyFill="1"/>
    <xf numFmtId="0" fontId="12" fillId="16" borderId="0" xfId="0" applyFont="1" applyFill="1" applyAlignment="1">
      <alignment wrapText="1"/>
    </xf>
    <xf numFmtId="0" fontId="12" fillId="0" borderId="0" xfId="0" applyFont="1"/>
    <xf numFmtId="0" fontId="9" fillId="6" borderId="0" xfId="0" applyFont="1" applyFill="1"/>
    <xf numFmtId="0" fontId="11" fillId="6" borderId="0" xfId="0" applyFont="1" applyFill="1"/>
    <xf numFmtId="0" fontId="10" fillId="6" borderId="0" xfId="0" applyFont="1" applyFill="1"/>
    <xf numFmtId="0" fontId="12" fillId="6" borderId="0" xfId="0" applyFont="1" applyFill="1"/>
    <xf numFmtId="0" fontId="11" fillId="0" borderId="0" xfId="0" applyFont="1"/>
    <xf numFmtId="0" fontId="9" fillId="5" borderId="0" xfId="0" applyFont="1" applyFill="1"/>
    <xf numFmtId="0" fontId="11" fillId="5" borderId="0" xfId="0" applyFont="1" applyFill="1"/>
    <xf numFmtId="0" fontId="12" fillId="5" borderId="0" xfId="0" applyFont="1" applyFill="1"/>
    <xf numFmtId="0" fontId="9" fillId="3" borderId="0" xfId="0" applyFont="1" applyFill="1"/>
    <xf numFmtId="0" fontId="12" fillId="3" borderId="0" xfId="0" applyFont="1" applyFill="1"/>
    <xf numFmtId="0" fontId="13" fillId="0" borderId="0" xfId="0" applyFont="1"/>
    <xf numFmtId="0" fontId="14" fillId="0" borderId="0" xfId="0" applyFont="1"/>
    <xf numFmtId="0" fontId="12" fillId="0" borderId="0" xfId="0" applyFont="1" applyFill="1"/>
    <xf numFmtId="0" fontId="9" fillId="0" borderId="2" xfId="0" applyFont="1" applyBorder="1" applyAlignment="1">
      <alignment horizontal="left" wrapText="1"/>
    </xf>
    <xf numFmtId="0" fontId="9" fillId="0" borderId="2" xfId="0" applyFont="1" applyBorder="1" applyAlignment="1">
      <alignment horizontal="center" wrapText="1"/>
    </xf>
    <xf numFmtId="0" fontId="12" fillId="0" borderId="2" xfId="0" applyFont="1" applyBorder="1" applyAlignment="1">
      <alignment wrapText="1"/>
    </xf>
    <xf numFmtId="0" fontId="13" fillId="0" borderId="0" xfId="0" applyFont="1" applyAlignment="1">
      <alignment wrapText="1"/>
    </xf>
    <xf numFmtId="0" fontId="12" fillId="0" borderId="0" xfId="0" applyFont="1" applyAlignment="1">
      <alignment wrapText="1"/>
    </xf>
    <xf numFmtId="164" fontId="10" fillId="16" borderId="0" xfId="1" applyNumberFormat="1" applyFont="1" applyFill="1" applyAlignment="1">
      <alignment wrapText="1"/>
    </xf>
    <xf numFmtId="0" fontId="13" fillId="16" borderId="0" xfId="0" applyFont="1" applyFill="1" applyAlignment="1">
      <alignment wrapText="1"/>
    </xf>
    <xf numFmtId="164" fontId="12" fillId="16" borderId="0" xfId="1" applyNumberFormat="1" applyFont="1" applyFill="1" applyAlignment="1">
      <alignment wrapText="1"/>
    </xf>
    <xf numFmtId="164" fontId="13" fillId="16" borderId="0" xfId="1" applyNumberFormat="1" applyFont="1" applyFill="1" applyAlignment="1"/>
    <xf numFmtId="5" fontId="10" fillId="16" borderId="0" xfId="1" applyNumberFormat="1" applyFont="1" applyFill="1" applyAlignment="1">
      <alignment horizontal="center" vertical="center"/>
    </xf>
    <xf numFmtId="0" fontId="13" fillId="16" borderId="0" xfId="0" applyFont="1" applyFill="1"/>
    <xf numFmtId="0" fontId="12" fillId="16" borderId="0" xfId="0" applyFont="1" applyFill="1"/>
    <xf numFmtId="5" fontId="12" fillId="0" borderId="0" xfId="1" applyNumberFormat="1" applyFont="1" applyAlignment="1">
      <alignment horizontal="center" vertical="center"/>
    </xf>
    <xf numFmtId="0" fontId="13" fillId="6" borderId="0" xfId="0" applyFont="1" applyFill="1"/>
    <xf numFmtId="0" fontId="13" fillId="6" borderId="0" xfId="0" applyFont="1" applyFill="1" applyAlignment="1"/>
    <xf numFmtId="5" fontId="10" fillId="6" borderId="0" xfId="1" applyNumberFormat="1" applyFont="1" applyFill="1" applyAlignment="1">
      <alignment horizontal="center" vertical="center"/>
    </xf>
    <xf numFmtId="5" fontId="10" fillId="6" borderId="0" xfId="0" applyNumberFormat="1" applyFont="1" applyFill="1" applyAlignment="1">
      <alignment horizontal="center"/>
    </xf>
    <xf numFmtId="0" fontId="16" fillId="6" borderId="0" xfId="0" applyFont="1" applyFill="1"/>
    <xf numFmtId="0" fontId="13" fillId="5" borderId="0" xfId="0" applyFont="1" applyFill="1"/>
    <xf numFmtId="5" fontId="15" fillId="3" borderId="0" xfId="0" applyNumberFormat="1" applyFont="1" applyFill="1" applyAlignment="1">
      <alignment horizontal="center"/>
    </xf>
    <xf numFmtId="9" fontId="15" fillId="3" borderId="0" xfId="8" applyFont="1" applyFill="1"/>
    <xf numFmtId="0" fontId="13" fillId="3" borderId="0" xfId="0" applyFont="1" applyFill="1"/>
    <xf numFmtId="5" fontId="12" fillId="0" borderId="0" xfId="0" applyNumberFormat="1" applyFont="1"/>
    <xf numFmtId="0" fontId="9" fillId="3" borderId="2" xfId="3" applyFont="1" applyFill="1" applyBorder="1"/>
    <xf numFmtId="0" fontId="9" fillId="3" borderId="2" xfId="3" applyFont="1" applyFill="1" applyBorder="1" applyAlignment="1">
      <alignment horizontal="center" wrapText="1"/>
    </xf>
    <xf numFmtId="0" fontId="9" fillId="3" borderId="3" xfId="3" applyFont="1" applyFill="1" applyBorder="1" applyAlignment="1">
      <alignment horizontal="center" wrapText="1"/>
    </xf>
    <xf numFmtId="0" fontId="9" fillId="3" borderId="23" xfId="3" applyFont="1" applyFill="1" applyBorder="1" applyAlignment="1">
      <alignment horizontal="center" wrapText="1"/>
    </xf>
    <xf numFmtId="0" fontId="9" fillId="3" borderId="24" xfId="3" applyFont="1" applyFill="1" applyBorder="1" applyAlignment="1">
      <alignment horizontal="center" wrapText="1"/>
    </xf>
    <xf numFmtId="0" fontId="9" fillId="3" borderId="1" xfId="3" applyFont="1" applyFill="1" applyBorder="1" applyAlignment="1">
      <alignment horizontal="center" wrapText="1"/>
    </xf>
    <xf numFmtId="0" fontId="11" fillId="8" borderId="3" xfId="3" applyFont="1" applyFill="1" applyBorder="1" applyAlignment="1">
      <alignment vertical="center" wrapText="1"/>
    </xf>
    <xf numFmtId="5" fontId="12" fillId="8" borderId="2" xfId="0" applyNumberFormat="1" applyFont="1" applyFill="1" applyBorder="1" applyAlignment="1">
      <alignment horizontal="center" vertical="center"/>
    </xf>
    <xf numFmtId="5" fontId="12" fillId="8" borderId="3" xfId="0" applyNumberFormat="1" applyFont="1" applyFill="1" applyBorder="1" applyAlignment="1">
      <alignment horizontal="center" vertical="center"/>
    </xf>
    <xf numFmtId="5" fontId="12" fillId="8" borderId="23" xfId="0" applyNumberFormat="1" applyFont="1" applyFill="1" applyBorder="1" applyAlignment="1">
      <alignment horizontal="center" vertical="center"/>
    </xf>
    <xf numFmtId="9" fontId="12" fillId="8" borderId="2" xfId="8" applyFont="1" applyFill="1" applyBorder="1" applyAlignment="1">
      <alignment horizontal="center" vertical="center" wrapText="1"/>
    </xf>
    <xf numFmtId="9" fontId="12" fillId="0" borderId="0" xfId="8" applyFont="1"/>
    <xf numFmtId="5" fontId="12" fillId="8" borderId="24" xfId="0" applyNumberFormat="1" applyFont="1" applyFill="1" applyBorder="1" applyAlignment="1">
      <alignment horizontal="center" vertical="center"/>
    </xf>
    <xf numFmtId="5" fontId="12" fillId="8" borderId="1" xfId="0" applyNumberFormat="1" applyFont="1" applyFill="1" applyBorder="1" applyAlignment="1">
      <alignment horizontal="center" vertical="center"/>
    </xf>
    <xf numFmtId="0" fontId="11" fillId="6" borderId="3" xfId="3" applyFont="1" applyFill="1" applyBorder="1" applyAlignment="1">
      <alignment vertical="center" wrapText="1"/>
    </xf>
    <xf numFmtId="5" fontId="12" fillId="6" borderId="2" xfId="0" applyNumberFormat="1" applyFont="1" applyFill="1" applyBorder="1" applyAlignment="1">
      <alignment horizontal="center" vertical="center"/>
    </xf>
    <xf numFmtId="5" fontId="12" fillId="6" borderId="3" xfId="0" applyNumberFormat="1" applyFont="1" applyFill="1" applyBorder="1" applyAlignment="1">
      <alignment horizontal="center" vertical="center"/>
    </xf>
    <xf numFmtId="5" fontId="12" fillId="6" borderId="23" xfId="0" applyNumberFormat="1" applyFont="1" applyFill="1" applyBorder="1" applyAlignment="1">
      <alignment horizontal="center" vertical="center"/>
    </xf>
    <xf numFmtId="9" fontId="12" fillId="6" borderId="2" xfId="8" applyFont="1" applyFill="1" applyBorder="1" applyAlignment="1">
      <alignment horizontal="center" vertical="center" wrapText="1"/>
    </xf>
    <xf numFmtId="5" fontId="12" fillId="6" borderId="24" xfId="0" applyNumberFormat="1" applyFont="1" applyFill="1" applyBorder="1" applyAlignment="1">
      <alignment horizontal="center" vertical="center"/>
    </xf>
    <xf numFmtId="5" fontId="12" fillId="6" borderId="1" xfId="0" applyNumberFormat="1" applyFont="1" applyFill="1" applyBorder="1" applyAlignment="1">
      <alignment horizontal="center" vertical="center"/>
    </xf>
    <xf numFmtId="0" fontId="11" fillId="5" borderId="3" xfId="3" applyFont="1" applyFill="1" applyBorder="1" applyAlignment="1">
      <alignment vertical="center" wrapText="1"/>
    </xf>
    <xf numFmtId="5" fontId="12" fillId="5" borderId="2" xfId="0" applyNumberFormat="1" applyFont="1" applyFill="1" applyBorder="1" applyAlignment="1">
      <alignment horizontal="center" vertical="center"/>
    </xf>
    <xf numFmtId="5" fontId="12" fillId="5" borderId="3" xfId="0" applyNumberFormat="1" applyFont="1" applyFill="1" applyBorder="1" applyAlignment="1">
      <alignment horizontal="center" vertical="center"/>
    </xf>
    <xf numFmtId="5" fontId="12" fillId="5" borderId="23" xfId="0" applyNumberFormat="1" applyFont="1" applyFill="1" applyBorder="1" applyAlignment="1">
      <alignment horizontal="center" vertical="center"/>
    </xf>
    <xf numFmtId="9" fontId="12" fillId="5" borderId="2" xfId="8" applyFont="1" applyFill="1" applyBorder="1" applyAlignment="1">
      <alignment horizontal="center" vertical="center" wrapText="1"/>
    </xf>
    <xf numFmtId="5" fontId="12" fillId="5" borderId="24" xfId="0" applyNumberFormat="1" applyFont="1" applyFill="1" applyBorder="1" applyAlignment="1">
      <alignment horizontal="center" vertical="center"/>
    </xf>
    <xf numFmtId="0" fontId="9" fillId="0" borderId="2" xfId="3" applyFont="1" applyBorder="1" applyAlignment="1">
      <alignment vertical="center" wrapText="1"/>
    </xf>
    <xf numFmtId="5" fontId="15" fillId="0" borderId="2" xfId="0" applyNumberFormat="1" applyFont="1" applyBorder="1" applyAlignment="1">
      <alignment horizontal="center" vertical="center"/>
    </xf>
    <xf numFmtId="5" fontId="15" fillId="0" borderId="3" xfId="0" applyNumberFormat="1" applyFont="1" applyBorder="1" applyAlignment="1">
      <alignment horizontal="center" vertical="center"/>
    </xf>
    <xf numFmtId="5" fontId="15" fillId="0" borderId="23" xfId="0" applyNumberFormat="1" applyFont="1" applyBorder="1" applyAlignment="1">
      <alignment horizontal="center" vertical="center"/>
    </xf>
    <xf numFmtId="9" fontId="15" fillId="0" borderId="2" xfId="8" applyFont="1" applyBorder="1" applyAlignment="1">
      <alignment horizontal="center" vertical="center" wrapText="1"/>
    </xf>
    <xf numFmtId="5" fontId="15" fillId="0" borderId="24" xfId="0" applyNumberFormat="1" applyFont="1" applyBorder="1" applyAlignment="1">
      <alignment horizontal="center" vertical="center"/>
    </xf>
    <xf numFmtId="5" fontId="15" fillId="0" borderId="1" xfId="0" applyNumberFormat="1" applyFont="1" applyBorder="1" applyAlignment="1">
      <alignment horizontal="center" vertical="center"/>
    </xf>
    <xf numFmtId="0" fontId="9" fillId="3" borderId="5" xfId="3" applyFont="1" applyFill="1" applyBorder="1" applyAlignment="1">
      <alignment horizontal="center" wrapText="1"/>
    </xf>
    <xf numFmtId="0" fontId="9" fillId="3" borderId="28" xfId="3" applyFont="1" applyFill="1" applyBorder="1" applyAlignment="1">
      <alignment horizontal="center" wrapText="1"/>
    </xf>
    <xf numFmtId="9" fontId="12" fillId="0" borderId="2" xfId="0" applyNumberFormat="1" applyFont="1" applyBorder="1" applyAlignment="1">
      <alignment horizontal="center" vertical="center"/>
    </xf>
    <xf numFmtId="0" fontId="9" fillId="0" borderId="2" xfId="3" applyFont="1" applyBorder="1" applyAlignment="1">
      <alignment horizontal="center" vertical="center" wrapText="1"/>
    </xf>
    <xf numFmtId="5" fontId="12" fillId="0" borderId="2" xfId="0" applyNumberFormat="1" applyFont="1" applyBorder="1" applyAlignment="1">
      <alignment horizontal="center" vertical="center"/>
    </xf>
    <xf numFmtId="0" fontId="9" fillId="3" borderId="2" xfId="3" applyFont="1" applyFill="1" applyBorder="1" applyAlignment="1">
      <alignment horizontal="center" vertical="center" wrapText="1"/>
    </xf>
    <xf numFmtId="0" fontId="12" fillId="10" borderId="2" xfId="0" applyFont="1" applyFill="1" applyBorder="1"/>
    <xf numFmtId="0" fontId="12" fillId="0" borderId="2" xfId="0" applyFont="1" applyBorder="1" applyAlignment="1">
      <alignment vertical="center"/>
    </xf>
    <xf numFmtId="0" fontId="12" fillId="0" borderId="2" xfId="0" applyFont="1" applyBorder="1" applyAlignment="1">
      <alignment vertical="center" wrapText="1"/>
    </xf>
    <xf numFmtId="5" fontId="0" fillId="0" borderId="2" xfId="0" applyNumberFormat="1" applyFont="1" applyFill="1" applyBorder="1" applyAlignment="1">
      <alignment horizontal="center" vertical="center"/>
    </xf>
    <xf numFmtId="5" fontId="0" fillId="0" borderId="2" xfId="0" applyNumberFormat="1" applyFont="1" applyFill="1" applyBorder="1" applyAlignment="1">
      <alignment horizontal="left" vertical="center"/>
    </xf>
    <xf numFmtId="0" fontId="12" fillId="3" borderId="2" xfId="0" applyFont="1" applyFill="1" applyBorder="1" applyAlignment="1">
      <alignment wrapText="1"/>
    </xf>
    <xf numFmtId="0" fontId="15" fillId="0" borderId="0" xfId="0" applyFont="1"/>
    <xf numFmtId="0" fontId="12" fillId="0" borderId="0" xfId="0" applyFont="1" applyBorder="1"/>
    <xf numFmtId="0" fontId="9" fillId="3" borderId="22" xfId="3" applyFont="1" applyFill="1" applyBorder="1" applyAlignment="1">
      <alignment horizontal="center" wrapText="1"/>
    </xf>
    <xf numFmtId="5" fontId="12" fillId="8" borderId="22" xfId="0" applyNumberFormat="1" applyFont="1" applyFill="1" applyBorder="1" applyAlignment="1">
      <alignment horizontal="center" vertical="center"/>
    </xf>
    <xf numFmtId="0" fontId="12" fillId="8" borderId="2" xfId="0" applyFont="1" applyFill="1" applyBorder="1" applyAlignment="1">
      <alignment horizontal="left" vertical="center" wrapText="1"/>
    </xf>
    <xf numFmtId="5" fontId="12" fillId="6" borderId="22" xfId="0" applyNumberFormat="1" applyFont="1" applyFill="1" applyBorder="1" applyAlignment="1">
      <alignment horizontal="center" vertical="center"/>
    </xf>
    <xf numFmtId="0" fontId="12" fillId="6" borderId="2" xfId="0" applyFont="1" applyFill="1" applyBorder="1" applyAlignment="1">
      <alignment horizontal="left" vertical="center" wrapText="1"/>
    </xf>
    <xf numFmtId="5" fontId="12" fillId="5" borderId="22" xfId="0" applyNumberFormat="1" applyFont="1" applyFill="1" applyBorder="1" applyAlignment="1">
      <alignment horizontal="center" vertical="center"/>
    </xf>
    <xf numFmtId="0" fontId="12" fillId="5" borderId="2" xfId="0" applyFont="1" applyFill="1" applyBorder="1" applyAlignment="1">
      <alignment horizontal="left" vertical="center" wrapText="1"/>
    </xf>
    <xf numFmtId="5" fontId="15" fillId="0" borderId="22" xfId="0" applyNumberFormat="1" applyFont="1" applyBorder="1" applyAlignment="1">
      <alignment horizontal="center" vertical="center"/>
    </xf>
    <xf numFmtId="0" fontId="12" fillId="0" borderId="2" xfId="0" applyFont="1" applyBorder="1" applyAlignment="1">
      <alignment horizontal="left" vertical="center"/>
    </xf>
    <xf numFmtId="0" fontId="11" fillId="0" borderId="2" xfId="3" applyFont="1" applyFill="1" applyBorder="1" applyAlignment="1">
      <alignment vertical="center" wrapText="1"/>
    </xf>
    <xf numFmtId="0" fontId="12" fillId="0" borderId="2" xfId="0" applyFont="1" applyBorder="1"/>
    <xf numFmtId="168" fontId="12" fillId="0" borderId="2" xfId="0" applyNumberFormat="1" applyFont="1" applyBorder="1" applyAlignment="1">
      <alignment horizontal="center" vertical="center"/>
    </xf>
    <xf numFmtId="0" fontId="12" fillId="0" borderId="22" xfId="0" applyFont="1" applyBorder="1"/>
    <xf numFmtId="168" fontId="12" fillId="0" borderId="1" xfId="0" applyNumberFormat="1" applyFont="1" applyBorder="1" applyAlignment="1">
      <alignment horizontal="center" vertical="center"/>
    </xf>
    <xf numFmtId="0" fontId="12" fillId="0" borderId="2" xfId="0" applyFont="1" applyBorder="1" applyAlignment="1">
      <alignment horizontal="right"/>
    </xf>
    <xf numFmtId="5" fontId="12" fillId="0" borderId="2" xfId="0" applyNumberFormat="1" applyFont="1" applyBorder="1" applyAlignment="1">
      <alignment horizontal="center"/>
    </xf>
    <xf numFmtId="5" fontId="12" fillId="0" borderId="2" xfId="0" applyNumberFormat="1" applyFont="1" applyBorder="1"/>
    <xf numFmtId="168" fontId="12" fillId="0" borderId="2" xfId="0" applyNumberFormat="1" applyFont="1" applyBorder="1"/>
    <xf numFmtId="0" fontId="15" fillId="3" borderId="2" xfId="0" applyFont="1" applyFill="1" applyBorder="1" applyAlignment="1">
      <alignment horizontal="right"/>
    </xf>
    <xf numFmtId="0" fontId="10" fillId="8" borderId="2" xfId="0" applyFont="1" applyFill="1" applyBorder="1" applyAlignment="1">
      <alignment horizontal="right"/>
    </xf>
    <xf numFmtId="5" fontId="12" fillId="8" borderId="2" xfId="0" applyNumberFormat="1" applyFont="1" applyFill="1" applyBorder="1"/>
    <xf numFmtId="0" fontId="10" fillId="6" borderId="2" xfId="0" applyFont="1" applyFill="1" applyBorder="1" applyAlignment="1">
      <alignment horizontal="right"/>
    </xf>
    <xf numFmtId="5" fontId="12" fillId="6" borderId="2" xfId="0" applyNumberFormat="1" applyFont="1" applyFill="1" applyBorder="1"/>
    <xf numFmtId="0" fontId="10" fillId="5" borderId="2" xfId="0" applyFont="1" applyFill="1" applyBorder="1" applyAlignment="1">
      <alignment horizontal="right"/>
    </xf>
    <xf numFmtId="5" fontId="12" fillId="5" borderId="2" xfId="0" applyNumberFormat="1" applyFont="1" applyFill="1" applyBorder="1"/>
    <xf numFmtId="0" fontId="15" fillId="0" borderId="2" xfId="0" applyFont="1" applyBorder="1" applyAlignment="1">
      <alignment horizontal="right"/>
    </xf>
    <xf numFmtId="5" fontId="15" fillId="0" borderId="2" xfId="0" applyNumberFormat="1" applyFont="1" applyBorder="1"/>
    <xf numFmtId="0" fontId="10" fillId="0" borderId="0" xfId="3" applyFont="1"/>
    <xf numFmtId="0" fontId="10" fillId="6" borderId="0" xfId="3" applyFont="1" applyFill="1"/>
    <xf numFmtId="164" fontId="12" fillId="6" borderId="0" xfId="2" applyNumberFormat="1" applyFont="1" applyFill="1"/>
    <xf numFmtId="0" fontId="17" fillId="0" borderId="0" xfId="3" applyFont="1"/>
    <xf numFmtId="165" fontId="12" fillId="7" borderId="3" xfId="6" applyNumberFormat="1" applyFont="1" applyFill="1" applyBorder="1"/>
    <xf numFmtId="0" fontId="10" fillId="7" borderId="1" xfId="3" applyFont="1" applyFill="1" applyBorder="1"/>
    <xf numFmtId="165" fontId="12" fillId="7" borderId="0" xfId="6" applyNumberFormat="1" applyFont="1" applyFill="1"/>
    <xf numFmtId="0" fontId="10" fillId="7" borderId="0" xfId="3" applyFont="1" applyFill="1"/>
    <xf numFmtId="0" fontId="17" fillId="9" borderId="2" xfId="3" applyFont="1" applyFill="1" applyBorder="1" applyAlignment="1">
      <alignment wrapText="1"/>
    </xf>
    <xf numFmtId="0" fontId="10" fillId="0" borderId="2" xfId="3" applyFont="1" applyBorder="1"/>
    <xf numFmtId="9" fontId="10" fillId="2" borderId="2" xfId="3" applyNumberFormat="1" applyFont="1" applyFill="1" applyBorder="1"/>
    <xf numFmtId="9" fontId="10" fillId="0" borderId="2" xfId="3" applyNumberFormat="1" applyFont="1" applyBorder="1"/>
    <xf numFmtId="0" fontId="10" fillId="0" borderId="2" xfId="3" applyFont="1" applyFill="1" applyBorder="1"/>
    <xf numFmtId="9" fontId="10" fillId="0" borderId="2" xfId="4" applyFont="1" applyBorder="1"/>
    <xf numFmtId="9" fontId="10" fillId="0" borderId="0" xfId="3" applyNumberFormat="1" applyFont="1"/>
    <xf numFmtId="164" fontId="10" fillId="0" borderId="0" xfId="2" applyNumberFormat="1" applyFont="1"/>
    <xf numFmtId="0" fontId="10" fillId="15" borderId="2" xfId="3" applyFont="1" applyFill="1" applyBorder="1"/>
    <xf numFmtId="9" fontId="10" fillId="15" borderId="2" xfId="3" applyNumberFormat="1" applyFont="1" applyFill="1" applyBorder="1"/>
    <xf numFmtId="0" fontId="17" fillId="4" borderId="2" xfId="3" applyFont="1" applyFill="1" applyBorder="1"/>
    <xf numFmtId="165" fontId="17" fillId="4" borderId="2" xfId="6" applyNumberFormat="1" applyFont="1" applyFill="1" applyBorder="1"/>
    <xf numFmtId="0" fontId="17" fillId="4" borderId="0" xfId="3" applyFont="1" applyFill="1" applyBorder="1"/>
    <xf numFmtId="165" fontId="17" fillId="4" borderId="0" xfId="6" applyNumberFormat="1" applyFont="1" applyFill="1" applyBorder="1"/>
    <xf numFmtId="164" fontId="17" fillId="4" borderId="0" xfId="3" applyNumberFormat="1" applyFont="1" applyFill="1"/>
    <xf numFmtId="9" fontId="10" fillId="0" borderId="0" xfId="3" applyNumberFormat="1" applyFont="1" applyFill="1"/>
    <xf numFmtId="0" fontId="17" fillId="4" borderId="27" xfId="3" applyFont="1" applyFill="1" applyBorder="1"/>
    <xf numFmtId="164" fontId="10" fillId="0" borderId="0" xfId="1" applyNumberFormat="1" applyFont="1"/>
    <xf numFmtId="164" fontId="10" fillId="0" borderId="0" xfId="3" applyNumberFormat="1" applyFont="1"/>
    <xf numFmtId="0" fontId="15" fillId="10" borderId="0" xfId="0" applyFont="1" applyFill="1"/>
    <xf numFmtId="0" fontId="12" fillId="10" borderId="0" xfId="0" applyFont="1" applyFill="1"/>
    <xf numFmtId="0" fontId="15" fillId="10" borderId="0" xfId="0" applyFont="1" applyFill="1" applyAlignment="1">
      <alignment wrapText="1"/>
    </xf>
    <xf numFmtId="0" fontId="18" fillId="3" borderId="0" xfId="0" applyFont="1" applyFill="1"/>
    <xf numFmtId="0" fontId="10" fillId="3" borderId="0" xfId="0" applyFont="1" applyFill="1"/>
    <xf numFmtId="0" fontId="10" fillId="0" borderId="0" xfId="0" applyFont="1" applyFill="1"/>
    <xf numFmtId="164" fontId="10" fillId="0" borderId="0" xfId="1" applyNumberFormat="1" applyFont="1" applyAlignment="1">
      <alignment wrapText="1"/>
    </xf>
    <xf numFmtId="0" fontId="19" fillId="3" borderId="0" xfId="0" applyFont="1" applyFill="1"/>
    <xf numFmtId="164" fontId="12" fillId="0" borderId="0" xfId="1" applyNumberFormat="1" applyFont="1" applyAlignment="1">
      <alignment wrapText="1"/>
    </xf>
    <xf numFmtId="164" fontId="12" fillId="0" borderId="0" xfId="1" applyNumberFormat="1" applyFont="1" applyFill="1" applyAlignment="1">
      <alignment wrapText="1"/>
    </xf>
    <xf numFmtId="0" fontId="19" fillId="0" borderId="0" xfId="0" applyFont="1" applyFill="1"/>
    <xf numFmtId="0" fontId="12" fillId="0" borderId="0" xfId="0" applyFont="1" applyAlignment="1">
      <alignment horizontal="right"/>
    </xf>
    <xf numFmtId="0" fontId="15" fillId="10" borderId="5" xfId="0" applyFont="1" applyFill="1" applyBorder="1" applyAlignment="1">
      <alignment wrapText="1"/>
    </xf>
    <xf numFmtId="0" fontId="15" fillId="10" borderId="7" xfId="0" applyFont="1" applyFill="1" applyBorder="1" applyAlignment="1">
      <alignment wrapText="1"/>
    </xf>
    <xf numFmtId="0" fontId="15" fillId="10" borderId="8" xfId="0" applyFont="1" applyFill="1" applyBorder="1" applyAlignment="1">
      <alignment wrapText="1"/>
    </xf>
    <xf numFmtId="9" fontId="12" fillId="0" borderId="6" xfId="0" applyNumberFormat="1" applyFont="1" applyBorder="1"/>
    <xf numFmtId="1" fontId="12" fillId="0" borderId="0" xfId="0" applyNumberFormat="1" applyFont="1" applyBorder="1"/>
    <xf numFmtId="1" fontId="12" fillId="0" borderId="9" xfId="0" applyNumberFormat="1" applyFont="1" applyBorder="1"/>
    <xf numFmtId="166" fontId="12" fillId="0" borderId="9" xfId="0" applyNumberFormat="1" applyFont="1" applyBorder="1"/>
    <xf numFmtId="9" fontId="12" fillId="0" borderId="10" xfId="0" applyNumberFormat="1" applyFont="1" applyBorder="1"/>
    <xf numFmtId="1" fontId="12" fillId="0" borderId="11" xfId="0" applyNumberFormat="1" applyFont="1" applyBorder="1"/>
    <xf numFmtId="0" fontId="12" fillId="0" borderId="11" xfId="0" applyFont="1" applyBorder="1"/>
    <xf numFmtId="166" fontId="12" fillId="0" borderId="12" xfId="0" applyNumberFormat="1" applyFont="1" applyBorder="1"/>
    <xf numFmtId="0" fontId="12" fillId="0" borderId="2" xfId="0" applyFont="1" applyBorder="1" applyAlignment="1">
      <alignment horizontal="center"/>
    </xf>
    <xf numFmtId="0" fontId="12" fillId="0" borderId="2" xfId="0" applyFont="1" applyBorder="1" applyAlignment="1">
      <alignment horizontal="left"/>
    </xf>
    <xf numFmtId="0" fontId="12" fillId="11" borderId="2" xfId="0" applyFont="1" applyFill="1" applyBorder="1" applyAlignment="1">
      <alignment horizontal="center"/>
    </xf>
    <xf numFmtId="0" fontId="12" fillId="12" borderId="2" xfId="0" applyFont="1" applyFill="1" applyBorder="1" applyAlignment="1">
      <alignment horizontal="center"/>
    </xf>
    <xf numFmtId="9" fontId="12" fillId="0" borderId="2" xfId="4" applyFont="1" applyBorder="1" applyAlignment="1">
      <alignment horizontal="center"/>
    </xf>
    <xf numFmtId="164" fontId="12" fillId="13" borderId="0" xfId="1" applyNumberFormat="1" applyFont="1" applyFill="1"/>
    <xf numFmtId="0" fontId="15" fillId="14" borderId="13" xfId="0" applyFont="1" applyFill="1" applyBorder="1" applyAlignment="1">
      <alignment wrapText="1"/>
    </xf>
    <xf numFmtId="0" fontId="15" fillId="14" borderId="14" xfId="0" applyFont="1" applyFill="1" applyBorder="1" applyAlignment="1">
      <alignment wrapText="1"/>
    </xf>
    <xf numFmtId="0" fontId="15" fillId="14" borderId="15" xfId="0" applyFont="1" applyFill="1" applyBorder="1" applyAlignment="1">
      <alignment wrapText="1"/>
    </xf>
    <xf numFmtId="0" fontId="12" fillId="0" borderId="16" xfId="0" applyFont="1" applyBorder="1"/>
    <xf numFmtId="169" fontId="12" fillId="0" borderId="0" xfId="5" applyNumberFormat="1" applyFont="1" applyBorder="1"/>
    <xf numFmtId="164" fontId="12" fillId="0" borderId="0" xfId="0" applyNumberFormat="1" applyFont="1" applyBorder="1"/>
    <xf numFmtId="164" fontId="12" fillId="0" borderId="17" xfId="0" applyNumberFormat="1" applyFont="1" applyBorder="1"/>
    <xf numFmtId="0" fontId="12" fillId="0" borderId="17" xfId="0" applyFont="1" applyBorder="1"/>
    <xf numFmtId="0" fontId="15" fillId="0" borderId="18" xfId="0" applyFont="1" applyBorder="1"/>
    <xf numFmtId="169" fontId="15" fillId="0" borderId="19" xfId="0" applyNumberFormat="1" applyFont="1" applyBorder="1"/>
    <xf numFmtId="164" fontId="15" fillId="0" borderId="19" xfId="0" applyNumberFormat="1" applyFont="1" applyBorder="1"/>
    <xf numFmtId="164" fontId="15" fillId="0" borderId="20" xfId="0" applyNumberFormat="1" applyFont="1" applyBorder="1"/>
    <xf numFmtId="0" fontId="20" fillId="0" borderId="0" xfId="0" applyFont="1"/>
    <xf numFmtId="170" fontId="12" fillId="16" borderId="0" xfId="1" applyNumberFormat="1" applyFont="1" applyFill="1" applyAlignment="1">
      <alignment wrapText="1"/>
    </xf>
    <xf numFmtId="44" fontId="12" fillId="16" borderId="0" xfId="1" applyNumberFormat="1" applyFont="1" applyFill="1" applyAlignment="1">
      <alignment wrapText="1"/>
    </xf>
    <xf numFmtId="7" fontId="12" fillId="5" borderId="0" xfId="0" applyNumberFormat="1" applyFont="1" applyFill="1"/>
    <xf numFmtId="0" fontId="15" fillId="18" borderId="2" xfId="0" applyFont="1" applyFill="1" applyBorder="1" applyAlignment="1">
      <alignment horizontal="center"/>
    </xf>
    <xf numFmtId="0" fontId="15" fillId="18" borderId="6" xfId="0" applyFont="1" applyFill="1" applyBorder="1" applyAlignment="1">
      <alignment horizontal="right" vertical="center"/>
    </xf>
    <xf numFmtId="9" fontId="15" fillId="18" borderId="9" xfId="8" applyFont="1" applyFill="1" applyBorder="1" applyAlignment="1">
      <alignment horizontal="center"/>
    </xf>
    <xf numFmtId="0" fontId="15" fillId="18" borderId="6" xfId="0" applyFont="1" applyFill="1" applyBorder="1" applyAlignment="1">
      <alignment horizontal="right"/>
    </xf>
    <xf numFmtId="5" fontId="15" fillId="18" borderId="9" xfId="0" applyNumberFormat="1" applyFont="1" applyFill="1" applyBorder="1" applyAlignment="1">
      <alignment horizontal="center" vertical="center"/>
    </xf>
    <xf numFmtId="168" fontId="15" fillId="18" borderId="9" xfId="7" applyNumberFormat="1" applyFont="1" applyFill="1" applyBorder="1" applyAlignment="1">
      <alignment horizontal="center"/>
    </xf>
    <xf numFmtId="0" fontId="15" fillId="18" borderId="10" xfId="0" applyFont="1" applyFill="1" applyBorder="1" applyAlignment="1">
      <alignment horizontal="right"/>
    </xf>
    <xf numFmtId="168" fontId="15" fillId="18" borderId="12" xfId="7" applyNumberFormat="1" applyFont="1" applyFill="1" applyBorder="1" applyAlignment="1">
      <alignment horizontal="center"/>
    </xf>
    <xf numFmtId="0" fontId="12" fillId="18" borderId="2" xfId="0" applyFont="1" applyFill="1" applyBorder="1"/>
    <xf numFmtId="5" fontId="12" fillId="5" borderId="2" xfId="0" applyNumberFormat="1" applyFont="1" applyFill="1" applyBorder="1" applyAlignment="1">
      <alignment horizontal="center" vertical="center"/>
    </xf>
    <xf numFmtId="5" fontId="15" fillId="0" borderId="28" xfId="0" applyNumberFormat="1" applyFont="1" applyBorder="1" applyAlignment="1">
      <alignment horizontal="center" vertical="center"/>
    </xf>
    <xf numFmtId="5" fontId="12" fillId="5" borderId="2" xfId="0" applyNumberFormat="1" applyFont="1" applyFill="1" applyBorder="1" applyAlignment="1">
      <alignment horizontal="center" vertical="center"/>
    </xf>
    <xf numFmtId="0" fontId="12" fillId="18" borderId="0" xfId="0" applyFont="1" applyFill="1" applyAlignment="1">
      <alignment horizontal="right"/>
    </xf>
    <xf numFmtId="10" fontId="12" fillId="18" borderId="0" xfId="0" applyNumberFormat="1" applyFont="1" applyFill="1"/>
    <xf numFmtId="5" fontId="12" fillId="5" borderId="2" xfId="0" applyNumberFormat="1" applyFont="1" applyFill="1" applyBorder="1" applyAlignment="1">
      <alignment horizontal="center" vertical="center"/>
    </xf>
    <xf numFmtId="5" fontId="12" fillId="5" borderId="3" xfId="0" applyNumberFormat="1" applyFont="1" applyFill="1" applyBorder="1" applyAlignment="1">
      <alignment horizontal="center" vertical="center"/>
    </xf>
    <xf numFmtId="5" fontId="12" fillId="5" borderId="1" xfId="0" applyNumberFormat="1" applyFont="1" applyFill="1" applyBorder="1" applyAlignment="1">
      <alignment horizontal="center" vertical="center"/>
    </xf>
    <xf numFmtId="9" fontId="12" fillId="8" borderId="2" xfId="8" applyNumberFormat="1" applyFont="1" applyFill="1" applyBorder="1" applyAlignment="1">
      <alignment horizontal="center" vertical="center" wrapText="1"/>
    </xf>
    <xf numFmtId="9" fontId="12" fillId="6" borderId="2" xfId="8" applyNumberFormat="1" applyFont="1" applyFill="1" applyBorder="1" applyAlignment="1">
      <alignment horizontal="center" vertical="center" wrapText="1"/>
    </xf>
    <xf numFmtId="9" fontId="12" fillId="5" borderId="2" xfId="8" applyNumberFormat="1" applyFont="1" applyFill="1" applyBorder="1" applyAlignment="1">
      <alignment horizontal="center" vertical="center" wrapText="1"/>
    </xf>
    <xf numFmtId="172" fontId="0" fillId="0" borderId="0" xfId="0" applyNumberFormat="1"/>
    <xf numFmtId="0" fontId="9" fillId="3" borderId="36" xfId="3" applyFont="1" applyFill="1" applyBorder="1" applyAlignment="1">
      <alignment horizontal="center" vertical="center" wrapText="1"/>
    </xf>
    <xf numFmtId="9" fontId="15" fillId="0" borderId="24" xfId="8" applyFont="1" applyBorder="1" applyAlignment="1">
      <alignment horizontal="center" vertical="center" wrapText="1"/>
    </xf>
    <xf numFmtId="5" fontId="0" fillId="0" borderId="0" xfId="0" applyNumberFormat="1"/>
    <xf numFmtId="5" fontId="12" fillId="0" borderId="0" xfId="8" applyNumberFormat="1" applyFont="1"/>
    <xf numFmtId="9" fontId="10" fillId="16" borderId="0" xfId="8" applyFont="1" applyFill="1" applyAlignment="1">
      <alignment wrapText="1"/>
    </xf>
    <xf numFmtId="0" fontId="10" fillId="16" borderId="0" xfId="0" applyFont="1" applyFill="1" applyAlignment="1">
      <alignment wrapText="1"/>
    </xf>
    <xf numFmtId="171" fontId="10" fillId="16" borderId="0" xfId="7" applyNumberFormat="1" applyFont="1" applyFill="1" applyAlignment="1">
      <alignment wrapText="1"/>
    </xf>
    <xf numFmtId="5" fontId="17" fillId="16" borderId="0" xfId="1" applyNumberFormat="1" applyFont="1" applyFill="1" applyAlignment="1">
      <alignment horizontal="center" vertical="center"/>
    </xf>
    <xf numFmtId="9" fontId="17" fillId="16" borderId="0" xfId="8" applyFont="1" applyFill="1" applyAlignment="1">
      <alignment wrapText="1"/>
    </xf>
    <xf numFmtId="0" fontId="17" fillId="16" borderId="0" xfId="0" applyFont="1" applyFill="1" applyAlignment="1">
      <alignment wrapText="1"/>
    </xf>
    <xf numFmtId="5" fontId="10" fillId="0" borderId="0" xfId="1" applyNumberFormat="1" applyFont="1" applyAlignment="1">
      <alignment horizontal="center" vertical="center"/>
    </xf>
    <xf numFmtId="7" fontId="10" fillId="0" borderId="0" xfId="0" applyNumberFormat="1" applyFont="1"/>
    <xf numFmtId="0" fontId="10" fillId="0" borderId="0" xfId="0" applyFont="1"/>
    <xf numFmtId="0" fontId="10" fillId="6" borderId="0" xfId="0" applyFont="1" applyFill="1" applyAlignment="1"/>
    <xf numFmtId="5" fontId="17" fillId="6" borderId="0" xfId="1" applyNumberFormat="1" applyFont="1" applyFill="1" applyAlignment="1">
      <alignment horizontal="center" vertical="center"/>
    </xf>
    <xf numFmtId="9" fontId="17" fillId="6" borderId="0" xfId="8" applyFont="1" applyFill="1"/>
    <xf numFmtId="5" fontId="10" fillId="5" borderId="0" xfId="1" applyNumberFormat="1" applyFont="1" applyFill="1" applyAlignment="1">
      <alignment horizontal="center" vertical="center"/>
    </xf>
    <xf numFmtId="0" fontId="10" fillId="5" borderId="0" xfId="0" applyFont="1" applyFill="1"/>
    <xf numFmtId="5" fontId="17" fillId="5" borderId="0" xfId="1" applyNumberFormat="1" applyFont="1" applyFill="1" applyAlignment="1">
      <alignment horizontal="center" vertical="center"/>
    </xf>
    <xf numFmtId="9" fontId="17" fillId="5" borderId="0" xfId="8" applyNumberFormat="1" applyFont="1" applyFill="1"/>
    <xf numFmtId="7" fontId="10" fillId="5" borderId="0" xfId="0" applyNumberFormat="1" applyFont="1" applyFill="1"/>
    <xf numFmtId="5" fontId="10" fillId="5" borderId="0" xfId="0" applyNumberFormat="1" applyFont="1" applyFill="1"/>
    <xf numFmtId="7" fontId="12" fillId="0" borderId="0" xfId="0" applyNumberFormat="1" applyFont="1"/>
    <xf numFmtId="5" fontId="12" fillId="8" borderId="25" xfId="0" applyNumberFormat="1" applyFont="1" applyFill="1" applyBorder="1" applyAlignment="1">
      <alignment horizontal="center" vertical="center"/>
    </xf>
    <xf numFmtId="5" fontId="12" fillId="8" borderId="26" xfId="0" applyNumberFormat="1" applyFont="1" applyFill="1" applyBorder="1" applyAlignment="1">
      <alignment horizontal="center" vertical="center"/>
    </xf>
    <xf numFmtId="5" fontId="12" fillId="8" borderId="27" xfId="0" applyNumberFormat="1" applyFont="1" applyFill="1" applyBorder="1" applyAlignment="1">
      <alignment horizontal="center" vertical="center"/>
    </xf>
    <xf numFmtId="9" fontId="12" fillId="8" borderId="33" xfId="8" applyFont="1" applyFill="1" applyBorder="1" applyAlignment="1">
      <alignment horizontal="center" vertical="center" wrapText="1"/>
    </xf>
    <xf numFmtId="9" fontId="12" fillId="8" borderId="34" xfId="8" applyFont="1" applyFill="1" applyBorder="1" applyAlignment="1">
      <alignment horizontal="center" vertical="center" wrapText="1"/>
    </xf>
    <xf numFmtId="9" fontId="12" fillId="8" borderId="35" xfId="8" applyFont="1" applyFill="1" applyBorder="1" applyAlignment="1">
      <alignment horizontal="center" vertical="center" wrapText="1"/>
    </xf>
    <xf numFmtId="5" fontId="12" fillId="6" borderId="29" xfId="0" applyNumberFormat="1" applyFont="1" applyFill="1" applyBorder="1" applyAlignment="1">
      <alignment horizontal="center" vertical="center"/>
    </xf>
    <xf numFmtId="5" fontId="12" fillId="6" borderId="30" xfId="0" applyNumberFormat="1" applyFont="1" applyFill="1" applyBorder="1" applyAlignment="1">
      <alignment horizontal="center" vertical="center"/>
    </xf>
    <xf numFmtId="5" fontId="12" fillId="6" borderId="31" xfId="0" applyNumberFormat="1" applyFont="1" applyFill="1" applyBorder="1" applyAlignment="1">
      <alignment horizontal="center" vertical="center"/>
    </xf>
    <xf numFmtId="5" fontId="12" fillId="5" borderId="25" xfId="0" applyNumberFormat="1" applyFont="1" applyFill="1" applyBorder="1" applyAlignment="1">
      <alignment horizontal="center" vertical="center"/>
    </xf>
    <xf numFmtId="5" fontId="12" fillId="5" borderId="26" xfId="0" applyNumberFormat="1" applyFont="1" applyFill="1" applyBorder="1" applyAlignment="1">
      <alignment horizontal="center" vertical="center"/>
    </xf>
    <xf numFmtId="5" fontId="12" fillId="5" borderId="27" xfId="0" applyNumberFormat="1" applyFont="1" applyFill="1" applyBorder="1" applyAlignment="1">
      <alignment horizontal="center" vertical="center"/>
    </xf>
    <xf numFmtId="5" fontId="12" fillId="6" borderId="25" xfId="0" applyNumberFormat="1" applyFont="1" applyFill="1" applyBorder="1" applyAlignment="1">
      <alignment horizontal="center" vertical="center"/>
    </xf>
    <xf numFmtId="5" fontId="12" fillId="6" borderId="26" xfId="0" applyNumberFormat="1" applyFont="1" applyFill="1" applyBorder="1" applyAlignment="1">
      <alignment horizontal="center" vertical="center"/>
    </xf>
    <xf numFmtId="5" fontId="12" fillId="6" borderId="27" xfId="0" applyNumberFormat="1" applyFont="1" applyFill="1" applyBorder="1" applyAlignment="1">
      <alignment horizontal="center" vertical="center"/>
    </xf>
    <xf numFmtId="5" fontId="12" fillId="5" borderId="29" xfId="0" applyNumberFormat="1" applyFont="1" applyFill="1" applyBorder="1" applyAlignment="1">
      <alignment horizontal="center" vertical="center"/>
    </xf>
    <xf numFmtId="5" fontId="12" fillId="5" borderId="30" xfId="0" applyNumberFormat="1" applyFont="1" applyFill="1" applyBorder="1" applyAlignment="1">
      <alignment horizontal="center" vertical="center"/>
    </xf>
    <xf numFmtId="5" fontId="12" fillId="5" borderId="31" xfId="0" applyNumberFormat="1" applyFont="1" applyFill="1" applyBorder="1" applyAlignment="1">
      <alignment horizontal="center" vertical="center"/>
    </xf>
    <xf numFmtId="9" fontId="12" fillId="6" borderId="25" xfId="8" applyFont="1" applyFill="1" applyBorder="1" applyAlignment="1">
      <alignment horizontal="center" vertical="center"/>
    </xf>
    <xf numFmtId="9" fontId="12" fillId="6" borderId="26" xfId="8" applyFont="1" applyFill="1" applyBorder="1" applyAlignment="1">
      <alignment horizontal="center" vertical="center"/>
    </xf>
    <xf numFmtId="9" fontId="12" fillId="6" borderId="27" xfId="8" applyFont="1" applyFill="1" applyBorder="1" applyAlignment="1">
      <alignment horizontal="center" vertical="center"/>
    </xf>
    <xf numFmtId="9" fontId="12" fillId="5" borderId="25" xfId="8" applyFont="1" applyFill="1" applyBorder="1" applyAlignment="1">
      <alignment horizontal="center" vertical="center"/>
    </xf>
    <xf numFmtId="9" fontId="12" fillId="5" borderId="26" xfId="8" applyFont="1" applyFill="1" applyBorder="1" applyAlignment="1">
      <alignment horizontal="center" vertical="center"/>
    </xf>
    <xf numFmtId="9" fontId="12" fillId="5" borderId="27" xfId="8" applyFont="1" applyFill="1" applyBorder="1" applyAlignment="1">
      <alignment horizontal="center" vertical="center"/>
    </xf>
    <xf numFmtId="5" fontId="12" fillId="5" borderId="8" xfId="0" applyNumberFormat="1" applyFont="1" applyFill="1" applyBorder="1" applyAlignment="1">
      <alignment horizontal="center" vertical="center"/>
    </xf>
    <xf numFmtId="5" fontId="12" fillId="5" borderId="9" xfId="0" applyNumberFormat="1" applyFont="1" applyFill="1" applyBorder="1" applyAlignment="1">
      <alignment horizontal="center" vertical="center"/>
    </xf>
    <xf numFmtId="5" fontId="12" fillId="5" borderId="12" xfId="0" applyNumberFormat="1" applyFont="1" applyFill="1" applyBorder="1" applyAlignment="1">
      <alignment horizontal="center" vertical="center"/>
    </xf>
    <xf numFmtId="9" fontId="12" fillId="5" borderId="33" xfId="8" applyFont="1" applyFill="1" applyBorder="1" applyAlignment="1">
      <alignment horizontal="center" vertical="center"/>
    </xf>
    <xf numFmtId="9" fontId="12" fillId="5" borderId="34" xfId="8" applyFont="1" applyFill="1" applyBorder="1" applyAlignment="1">
      <alignment horizontal="center" vertical="center"/>
    </xf>
    <xf numFmtId="9" fontId="12" fillId="5" borderId="35" xfId="8" applyFont="1" applyFill="1" applyBorder="1" applyAlignment="1">
      <alignment horizontal="center" vertical="center"/>
    </xf>
    <xf numFmtId="5" fontId="12" fillId="6" borderId="8" xfId="0" applyNumberFormat="1" applyFont="1" applyFill="1" applyBorder="1" applyAlignment="1">
      <alignment horizontal="center" vertical="center"/>
    </xf>
    <xf numFmtId="5" fontId="12" fillId="6" borderId="9" xfId="0" applyNumberFormat="1" applyFont="1" applyFill="1" applyBorder="1" applyAlignment="1">
      <alignment horizontal="center" vertical="center"/>
    </xf>
    <xf numFmtId="5" fontId="12" fillId="6" borderId="12" xfId="0" applyNumberFormat="1" applyFont="1" applyFill="1" applyBorder="1" applyAlignment="1">
      <alignment horizontal="center" vertical="center"/>
    </xf>
    <xf numFmtId="9" fontId="12" fillId="6" borderId="33" xfId="8" applyFont="1" applyFill="1" applyBorder="1" applyAlignment="1">
      <alignment horizontal="center" vertical="center"/>
    </xf>
    <xf numFmtId="9" fontId="12" fillId="6" borderId="34" xfId="8" applyFont="1" applyFill="1" applyBorder="1" applyAlignment="1">
      <alignment horizontal="center" vertical="center"/>
    </xf>
    <xf numFmtId="9" fontId="12" fillId="6" borderId="35" xfId="8" applyFont="1" applyFill="1" applyBorder="1" applyAlignment="1">
      <alignment horizontal="center" vertical="center"/>
    </xf>
    <xf numFmtId="0" fontId="9" fillId="3" borderId="3" xfId="3" applyFont="1" applyFill="1" applyBorder="1" applyAlignment="1">
      <alignment horizontal="center" vertical="center" wrapText="1"/>
    </xf>
    <xf numFmtId="0" fontId="9" fillId="3" borderId="4" xfId="3" applyFont="1" applyFill="1" applyBorder="1" applyAlignment="1">
      <alignment horizontal="center" vertical="center" wrapText="1"/>
    </xf>
    <xf numFmtId="0" fontId="9" fillId="3" borderId="1" xfId="3" applyFont="1" applyFill="1" applyBorder="1" applyAlignment="1">
      <alignment horizontal="center" vertical="center" wrapText="1"/>
    </xf>
    <xf numFmtId="0" fontId="9" fillId="3" borderId="32" xfId="3" applyFont="1" applyFill="1" applyBorder="1" applyAlignment="1">
      <alignment horizontal="center" vertical="center" wrapText="1"/>
    </xf>
    <xf numFmtId="9" fontId="12" fillId="8" borderId="25" xfId="8" applyFont="1" applyFill="1" applyBorder="1" applyAlignment="1">
      <alignment horizontal="center" vertical="center" wrapText="1"/>
    </xf>
    <xf numFmtId="9" fontId="12" fillId="8" borderId="26" xfId="8" applyFont="1" applyFill="1" applyBorder="1" applyAlignment="1">
      <alignment horizontal="center" vertical="center" wrapText="1"/>
    </xf>
    <xf numFmtId="9" fontId="12" fillId="8" borderId="27" xfId="8" applyFont="1" applyFill="1" applyBorder="1" applyAlignment="1">
      <alignment horizontal="center" vertical="center" wrapText="1"/>
    </xf>
    <xf numFmtId="5" fontId="12" fillId="8" borderId="29" xfId="0" applyNumberFormat="1" applyFont="1" applyFill="1" applyBorder="1" applyAlignment="1">
      <alignment horizontal="center" vertical="center"/>
    </xf>
    <xf numFmtId="5" fontId="12" fillId="8" borderId="30" xfId="0" applyNumberFormat="1" applyFont="1" applyFill="1" applyBorder="1" applyAlignment="1">
      <alignment horizontal="center" vertical="center"/>
    </xf>
    <xf numFmtId="5" fontId="12" fillId="8" borderId="31" xfId="0" applyNumberFormat="1" applyFont="1" applyFill="1" applyBorder="1" applyAlignment="1">
      <alignment horizontal="center" vertical="center"/>
    </xf>
    <xf numFmtId="0" fontId="11" fillId="8" borderId="25" xfId="3" applyFont="1" applyFill="1" applyBorder="1" applyAlignment="1">
      <alignment horizontal="center" vertical="center" wrapText="1"/>
    </xf>
    <xf numFmtId="0" fontId="11" fillId="8" borderId="26" xfId="3" applyFont="1" applyFill="1" applyBorder="1" applyAlignment="1">
      <alignment horizontal="center" vertical="center" wrapText="1"/>
    </xf>
    <xf numFmtId="0" fontId="11" fillId="8" borderId="27" xfId="3" applyFont="1" applyFill="1" applyBorder="1" applyAlignment="1">
      <alignment horizontal="center" vertical="center" wrapText="1"/>
    </xf>
    <xf numFmtId="5" fontId="12" fillId="8" borderId="8" xfId="0" applyNumberFormat="1" applyFont="1" applyFill="1" applyBorder="1" applyAlignment="1">
      <alignment horizontal="center" vertical="center"/>
    </xf>
    <xf numFmtId="5" fontId="12" fillId="8" borderId="9" xfId="0" applyNumberFormat="1" applyFont="1" applyFill="1" applyBorder="1" applyAlignment="1">
      <alignment horizontal="center" vertical="center"/>
    </xf>
    <xf numFmtId="5" fontId="12" fillId="8" borderId="12" xfId="0" applyNumberFormat="1" applyFont="1" applyFill="1" applyBorder="1" applyAlignment="1">
      <alignment horizontal="center" vertical="center"/>
    </xf>
    <xf numFmtId="0" fontId="11" fillId="5" borderId="25" xfId="3" applyFont="1" applyFill="1" applyBorder="1" applyAlignment="1">
      <alignment horizontal="center" vertical="center" wrapText="1"/>
    </xf>
    <xf numFmtId="0" fontId="11" fillId="5" borderId="26" xfId="3" applyFont="1" applyFill="1" applyBorder="1" applyAlignment="1">
      <alignment horizontal="center" vertical="center" wrapText="1"/>
    </xf>
    <xf numFmtId="0" fontId="11" fillId="5" borderId="27" xfId="3" applyFont="1" applyFill="1" applyBorder="1" applyAlignment="1">
      <alignment horizontal="center" vertical="center" wrapText="1"/>
    </xf>
    <xf numFmtId="0" fontId="11" fillId="6" borderId="25" xfId="3" applyFont="1" applyFill="1" applyBorder="1" applyAlignment="1">
      <alignment horizontal="center" vertical="center" wrapText="1"/>
    </xf>
    <xf numFmtId="0" fontId="11" fillId="6" borderId="26" xfId="3" applyFont="1" applyFill="1" applyBorder="1" applyAlignment="1">
      <alignment horizontal="center" vertical="center" wrapText="1"/>
    </xf>
    <xf numFmtId="0" fontId="11" fillId="6" borderId="27" xfId="3" applyFont="1" applyFill="1" applyBorder="1" applyAlignment="1">
      <alignment horizontal="center" vertical="center" wrapText="1"/>
    </xf>
    <xf numFmtId="0" fontId="15" fillId="3" borderId="3" xfId="0" applyFont="1" applyFill="1" applyBorder="1" applyAlignment="1">
      <alignment horizontal="center" wrapText="1"/>
    </xf>
    <xf numFmtId="0" fontId="15" fillId="3" borderId="4" xfId="0" applyFont="1" applyFill="1" applyBorder="1" applyAlignment="1">
      <alignment horizontal="center" wrapText="1"/>
    </xf>
    <xf numFmtId="0" fontId="15" fillId="3" borderId="1" xfId="0" applyFont="1" applyFill="1" applyBorder="1" applyAlignment="1">
      <alignment horizontal="center" wrapText="1"/>
    </xf>
    <xf numFmtId="0" fontId="15" fillId="3" borderId="2" xfId="0" applyFont="1" applyFill="1" applyBorder="1" applyAlignment="1">
      <alignment horizontal="center"/>
    </xf>
    <xf numFmtId="0" fontId="12" fillId="11" borderId="3" xfId="0" applyFont="1" applyFill="1" applyBorder="1" applyAlignment="1">
      <alignment horizontal="center"/>
    </xf>
    <xf numFmtId="0" fontId="12" fillId="11" borderId="4" xfId="0" applyFont="1" applyFill="1" applyBorder="1" applyAlignment="1">
      <alignment horizontal="center"/>
    </xf>
    <xf numFmtId="0" fontId="12" fillId="11" borderId="1" xfId="0" applyFont="1" applyFill="1" applyBorder="1" applyAlignment="1">
      <alignment horizontal="center"/>
    </xf>
    <xf numFmtId="0" fontId="0" fillId="0" borderId="0" xfId="0" applyAlignment="1">
      <alignment horizontal="right"/>
    </xf>
  </cellXfs>
  <cellStyles count="9">
    <cellStyle name="Comma" xfId="7" builtinId="3"/>
    <cellStyle name="Comma 2" xfId="6"/>
    <cellStyle name="Currency" xfId="1" builtinId="4"/>
    <cellStyle name="Currency 2" xfId="2"/>
    <cellStyle name="Normal" xfId="0" builtinId="0"/>
    <cellStyle name="Normal 2" xfId="3"/>
    <cellStyle name="Percent" xfId="8" builtinId="5"/>
    <cellStyle name="Percent 2" xfId="4"/>
    <cellStyle name="Percent 3" xfId="5"/>
  </cellStyles>
  <dxfs count="0"/>
  <tableStyles count="0" defaultTableStyle="TableStyleMedium9"/>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3-Year</a:t>
            </a:r>
            <a:r>
              <a:rPr lang="en-US" baseline="0"/>
              <a:t> </a:t>
            </a:r>
            <a:r>
              <a:rPr lang="en-US"/>
              <a:t>RTF Budgets (not including Council In-Kind Contribution)</a:t>
            </a:r>
          </a:p>
        </c:rich>
      </c:tx>
      <c:layout/>
    </c:title>
    <c:plotArea>
      <c:layout>
        <c:manualLayout>
          <c:layoutTarget val="inner"/>
          <c:xMode val="edge"/>
          <c:yMode val="edge"/>
          <c:x val="0.13762726775935105"/>
          <c:y val="8.3099146931624568E-2"/>
          <c:w val="0.45046647143673268"/>
          <c:h val="0.81368701383404463"/>
        </c:manualLayout>
      </c:layout>
      <c:barChart>
        <c:barDir val="col"/>
        <c:grouping val="stacked"/>
        <c:ser>
          <c:idx val="8"/>
          <c:order val="0"/>
          <c:tx>
            <c:strRef>
              <c:f>'Category (2014)'!$B$14</c:f>
              <c:strCache>
                <c:ptCount val="1"/>
                <c:pt idx="0">
                  <c:v>RTF Management</c:v>
                </c:pt>
              </c:strCache>
            </c:strRef>
          </c:tx>
          <c:cat>
            <c:strRef>
              <c:f>('Category (2014)'!$O$4,'Category (2014)'!$I$4,'Category (2014)'!$C$4)</c:f>
              <c:strCache>
                <c:ptCount val="3"/>
                <c:pt idx="0">
                  <c:v>Approved 2012</c:v>
                </c:pt>
                <c:pt idx="1">
                  <c:v>Approved 2013</c:v>
                </c:pt>
                <c:pt idx="2">
                  <c:v>Proposed 2014</c:v>
                </c:pt>
              </c:strCache>
            </c:strRef>
          </c:cat>
          <c:val>
            <c:numRef>
              <c:f>('Category (2014)'!$Q$14,'Category (2014)'!$K$14,'Category (2014)'!$E$14)</c:f>
              <c:numCache>
                <c:formatCode>"$"#,##0_);\("$"#,##0\)</c:formatCode>
                <c:ptCount val="3"/>
                <c:pt idx="0">
                  <c:v>103110.00000000001</c:v>
                </c:pt>
                <c:pt idx="1">
                  <c:v>211130.00000000003</c:v>
                </c:pt>
                <c:pt idx="2">
                  <c:v>200000</c:v>
                </c:pt>
              </c:numCache>
            </c:numRef>
          </c:val>
        </c:ser>
        <c:ser>
          <c:idx val="7"/>
          <c:order val="1"/>
          <c:tx>
            <c:strRef>
              <c:f>'Category (2014)'!$B$13</c:f>
              <c:strCache>
                <c:ptCount val="1"/>
                <c:pt idx="0">
                  <c:v>RTF Member Support &amp; Administration</c:v>
                </c:pt>
              </c:strCache>
            </c:strRef>
          </c:tx>
          <c:cat>
            <c:strRef>
              <c:f>('Category (2014)'!$O$4,'Category (2014)'!$I$4,'Category (2014)'!$C$4)</c:f>
              <c:strCache>
                <c:ptCount val="3"/>
                <c:pt idx="0">
                  <c:v>Approved 2012</c:v>
                </c:pt>
                <c:pt idx="1">
                  <c:v>Approved 2013</c:v>
                </c:pt>
                <c:pt idx="2">
                  <c:v>Proposed 2014</c:v>
                </c:pt>
              </c:strCache>
            </c:strRef>
          </c:cat>
          <c:val>
            <c:numRef>
              <c:f>('Category (2014)'!$Q$13,'Category (2014)'!$K$13,'Category (2014)'!$E$13)</c:f>
              <c:numCache>
                <c:formatCode>"$"#,##0_);\("$"#,##0\)</c:formatCode>
                <c:ptCount val="3"/>
                <c:pt idx="0">
                  <c:v>170868.00000000003</c:v>
                </c:pt>
                <c:pt idx="1">
                  <c:v>170868.00000000003</c:v>
                </c:pt>
                <c:pt idx="2">
                  <c:v>145000</c:v>
                </c:pt>
              </c:numCache>
            </c:numRef>
          </c:val>
        </c:ser>
        <c:ser>
          <c:idx val="6"/>
          <c:order val="2"/>
          <c:tx>
            <c:strRef>
              <c:f>'Category (2014)'!$B$12</c:f>
              <c:strCache>
                <c:ptCount val="1"/>
                <c:pt idx="0">
                  <c:v>Website, Database support, Conservation Tracking </c:v>
                </c:pt>
              </c:strCache>
            </c:strRef>
          </c:tx>
          <c:cat>
            <c:strRef>
              <c:f>('Category (2014)'!$O$4,'Category (2014)'!$I$4,'Category (2014)'!$C$4)</c:f>
              <c:strCache>
                <c:ptCount val="3"/>
                <c:pt idx="0">
                  <c:v>Approved 2012</c:v>
                </c:pt>
                <c:pt idx="1">
                  <c:v>Approved 2013</c:v>
                </c:pt>
                <c:pt idx="2">
                  <c:v>Proposed 2014</c:v>
                </c:pt>
              </c:strCache>
            </c:strRef>
          </c:cat>
          <c:val>
            <c:numRef>
              <c:f>('Category (2014)'!$Q$12,'Category (2014)'!$K$12,'Category (2014)'!$E$12)</c:f>
              <c:numCache>
                <c:formatCode>"$"#,##0_);\("$"#,##0\)</c:formatCode>
                <c:ptCount val="3"/>
                <c:pt idx="0">
                  <c:v>0</c:v>
                </c:pt>
                <c:pt idx="1">
                  <c:v>0</c:v>
                </c:pt>
                <c:pt idx="2">
                  <c:v>65000</c:v>
                </c:pt>
              </c:numCache>
            </c:numRef>
          </c:val>
        </c:ser>
        <c:ser>
          <c:idx val="5"/>
          <c:order val="3"/>
          <c:tx>
            <c:strRef>
              <c:f>'Category (2014)'!$B$11</c:f>
              <c:strCache>
                <c:ptCount val="1"/>
                <c:pt idx="0">
                  <c:v>Regional Coordination</c:v>
                </c:pt>
              </c:strCache>
            </c:strRef>
          </c:tx>
          <c:cat>
            <c:strRef>
              <c:f>('Category (2014)'!$O$4,'Category (2014)'!$I$4,'Category (2014)'!$C$4)</c:f>
              <c:strCache>
                <c:ptCount val="3"/>
                <c:pt idx="0">
                  <c:v>Approved 2012</c:v>
                </c:pt>
                <c:pt idx="1">
                  <c:v>Approved 2013</c:v>
                </c:pt>
                <c:pt idx="2">
                  <c:v>Proposed 2014</c:v>
                </c:pt>
              </c:strCache>
            </c:strRef>
          </c:cat>
          <c:val>
            <c:numRef>
              <c:f>('Category (2014)'!$Q$11,'Category (2014)'!$K$11,'Category (2014)'!$E$11)</c:f>
              <c:numCache>
                <c:formatCode>"$"#,##0_);\("$"#,##0\)</c:formatCode>
                <c:ptCount val="3"/>
                <c:pt idx="0">
                  <c:v>56956.000000000007</c:v>
                </c:pt>
                <c:pt idx="1">
                  <c:v>85434</c:v>
                </c:pt>
                <c:pt idx="2">
                  <c:v>18500</c:v>
                </c:pt>
              </c:numCache>
            </c:numRef>
          </c:val>
        </c:ser>
        <c:ser>
          <c:idx val="4"/>
          <c:order val="4"/>
          <c:tx>
            <c:strRef>
              <c:f>'Category (2014)'!$B$10</c:f>
              <c:strCache>
                <c:ptCount val="1"/>
                <c:pt idx="0">
                  <c:v>Research Projects &amp; Data Development</c:v>
                </c:pt>
              </c:strCache>
            </c:strRef>
          </c:tx>
          <c:cat>
            <c:strRef>
              <c:f>('Category (2014)'!$O$4,'Category (2014)'!$I$4,'Category (2014)'!$C$4)</c:f>
              <c:strCache>
                <c:ptCount val="3"/>
                <c:pt idx="0">
                  <c:v>Approved 2012</c:v>
                </c:pt>
                <c:pt idx="1">
                  <c:v>Approved 2013</c:v>
                </c:pt>
                <c:pt idx="2">
                  <c:v>Proposed 2014</c:v>
                </c:pt>
              </c:strCache>
            </c:strRef>
          </c:cat>
          <c:val>
            <c:numRef>
              <c:f>('Category (2014)'!$Q$10,'Category (2014)'!$K$10,'Category (2014)'!$E$10)</c:f>
              <c:numCache>
                <c:formatCode>"$"#,##0_);\("$"#,##0\)</c:formatCode>
                <c:ptCount val="3"/>
                <c:pt idx="0">
                  <c:v>223896.00000000003</c:v>
                </c:pt>
                <c:pt idx="1">
                  <c:v>149165.80000000002</c:v>
                </c:pt>
                <c:pt idx="2">
                  <c:v>120000</c:v>
                </c:pt>
              </c:numCache>
            </c:numRef>
          </c:val>
        </c:ser>
        <c:ser>
          <c:idx val="3"/>
          <c:order val="5"/>
          <c:tx>
            <c:strRef>
              <c:f>'Category (2014)'!$B$9</c:f>
              <c:strCache>
                <c:ptCount val="1"/>
                <c:pt idx="0">
                  <c:v>Tool Development</c:v>
                </c:pt>
              </c:strCache>
            </c:strRef>
          </c:tx>
          <c:cat>
            <c:strRef>
              <c:f>('Category (2014)'!$O$4,'Category (2014)'!$I$4,'Category (2014)'!$C$4)</c:f>
              <c:strCache>
                <c:ptCount val="3"/>
                <c:pt idx="0">
                  <c:v>Approved 2012</c:v>
                </c:pt>
                <c:pt idx="1">
                  <c:v>Approved 2013</c:v>
                </c:pt>
                <c:pt idx="2">
                  <c:v>Proposed 2014</c:v>
                </c:pt>
              </c:strCache>
            </c:strRef>
          </c:cat>
          <c:val>
            <c:numRef>
              <c:f>('Category (2014)'!$Q$9,'Category (2014)'!$K$9,'Category (2014)'!$E$9)</c:f>
              <c:numCache>
                <c:formatCode>"$"#,##0_);\("$"#,##0\)</c:formatCode>
                <c:ptCount val="3"/>
                <c:pt idx="0">
                  <c:v>131588.00000000003</c:v>
                </c:pt>
                <c:pt idx="1">
                  <c:v>93290</c:v>
                </c:pt>
                <c:pt idx="2">
                  <c:v>185000</c:v>
                </c:pt>
              </c:numCache>
            </c:numRef>
          </c:val>
        </c:ser>
        <c:ser>
          <c:idx val="0"/>
          <c:order val="6"/>
          <c:tx>
            <c:strRef>
              <c:f>'Category (2014)'!$B$8</c:f>
              <c:strCache>
                <c:ptCount val="1"/>
                <c:pt idx="0">
                  <c:v>Standardization of Technical Analysis</c:v>
                </c:pt>
              </c:strCache>
            </c:strRef>
          </c:tx>
          <c:cat>
            <c:strRef>
              <c:f>('Category (2014)'!$O$4,'Category (2014)'!$I$4,'Category (2014)'!$C$4)</c:f>
              <c:strCache>
                <c:ptCount val="3"/>
                <c:pt idx="0">
                  <c:v>Approved 2012</c:v>
                </c:pt>
                <c:pt idx="1">
                  <c:v>Approved 2013</c:v>
                </c:pt>
                <c:pt idx="2">
                  <c:v>Proposed 2014</c:v>
                </c:pt>
              </c:strCache>
            </c:strRef>
          </c:cat>
          <c:val>
            <c:numRef>
              <c:f>('Category (2014)'!$Q$8,'Category (2014)'!$K$8,'Category (2014)'!$E$8)</c:f>
              <c:numCache>
                <c:formatCode>"$"#,##0_);\("$"#,##0\)</c:formatCode>
                <c:ptCount val="3"/>
                <c:pt idx="0">
                  <c:v>172832</c:v>
                </c:pt>
                <c:pt idx="1">
                  <c:v>65303.000000000015</c:v>
                </c:pt>
                <c:pt idx="2">
                  <c:v>59000</c:v>
                </c:pt>
              </c:numCache>
            </c:numRef>
          </c:val>
        </c:ser>
        <c:ser>
          <c:idx val="1"/>
          <c:order val="7"/>
          <c:tx>
            <c:strRef>
              <c:f>'Category (2014)'!$B$7</c:f>
              <c:strCache>
                <c:ptCount val="1"/>
                <c:pt idx="0">
                  <c:v>New Measure Development &amp; Review of Unsolicited Proposals</c:v>
                </c:pt>
              </c:strCache>
            </c:strRef>
          </c:tx>
          <c:cat>
            <c:strRef>
              <c:f>('Category (2014)'!$O$4,'Category (2014)'!$I$4,'Category (2014)'!$C$4)</c:f>
              <c:strCache>
                <c:ptCount val="3"/>
                <c:pt idx="0">
                  <c:v>Approved 2012</c:v>
                </c:pt>
                <c:pt idx="1">
                  <c:v>Approved 2013</c:v>
                </c:pt>
                <c:pt idx="2">
                  <c:v>Proposed 2014</c:v>
                </c:pt>
              </c:strCache>
            </c:strRef>
          </c:cat>
          <c:val>
            <c:numRef>
              <c:f>('Category (2014)'!$Q$7,'Category (2014)'!$K$7,'Category (2014)'!$E$7)</c:f>
              <c:numCache>
                <c:formatCode>"$"#,##0_);\("$"#,##0\)</c:formatCode>
                <c:ptCount val="3"/>
                <c:pt idx="0">
                  <c:v>135516</c:v>
                </c:pt>
                <c:pt idx="1">
                  <c:v>158102</c:v>
                </c:pt>
                <c:pt idx="2">
                  <c:v>205000</c:v>
                </c:pt>
              </c:numCache>
            </c:numRef>
          </c:val>
        </c:ser>
        <c:ser>
          <c:idx val="2"/>
          <c:order val="8"/>
          <c:tx>
            <c:strRef>
              <c:f>'Category (2014)'!$B$6</c:f>
              <c:strCache>
                <c:ptCount val="1"/>
                <c:pt idx="0">
                  <c:v>Existing Measure Review &amp; Updates</c:v>
                </c:pt>
              </c:strCache>
            </c:strRef>
          </c:tx>
          <c:cat>
            <c:strRef>
              <c:f>('Category (2014)'!$O$4,'Category (2014)'!$I$4,'Category (2014)'!$C$4)</c:f>
              <c:strCache>
                <c:ptCount val="3"/>
                <c:pt idx="0">
                  <c:v>Approved 2012</c:v>
                </c:pt>
                <c:pt idx="1">
                  <c:v>Approved 2013</c:v>
                </c:pt>
                <c:pt idx="2">
                  <c:v>Proposed 2014</c:v>
                </c:pt>
              </c:strCache>
            </c:strRef>
          </c:cat>
          <c:val>
            <c:numRef>
              <c:f>('Category (2014)'!$Q$6,'Category (2014)'!$K$6,'Category (2014)'!$E$6)</c:f>
              <c:numCache>
                <c:formatCode>"$"#,##0_);\("$"#,##0\)</c:formatCode>
                <c:ptCount val="3"/>
                <c:pt idx="0">
                  <c:v>478234.00000000006</c:v>
                </c:pt>
                <c:pt idx="1">
                  <c:v>539707.20000000007</c:v>
                </c:pt>
                <c:pt idx="2">
                  <c:v>475500</c:v>
                </c:pt>
              </c:numCache>
            </c:numRef>
          </c:val>
        </c:ser>
        <c:gapWidth val="27"/>
        <c:overlap val="100"/>
        <c:axId val="138374528"/>
        <c:axId val="138384512"/>
      </c:barChart>
      <c:catAx>
        <c:axId val="138374528"/>
        <c:scaling>
          <c:orientation val="minMax"/>
        </c:scaling>
        <c:axPos val="b"/>
        <c:numFmt formatCode="General" sourceLinked="1"/>
        <c:tickLblPos val="nextTo"/>
        <c:txPr>
          <a:bodyPr/>
          <a:lstStyle/>
          <a:p>
            <a:pPr>
              <a:defRPr sz="1800" b="1"/>
            </a:pPr>
            <a:endParaRPr lang="en-US"/>
          </a:p>
        </c:txPr>
        <c:crossAx val="138384512"/>
        <c:crosses val="autoZero"/>
        <c:auto val="1"/>
        <c:lblAlgn val="ctr"/>
        <c:lblOffset val="100"/>
      </c:catAx>
      <c:valAx>
        <c:axId val="138384512"/>
        <c:scaling>
          <c:orientation val="minMax"/>
        </c:scaling>
        <c:axPos val="l"/>
        <c:numFmt formatCode="&quot;$&quot;#,##0_);\(&quot;$&quot;#,##0\)" sourceLinked="1"/>
        <c:tickLblPos val="nextTo"/>
        <c:txPr>
          <a:bodyPr/>
          <a:lstStyle/>
          <a:p>
            <a:pPr>
              <a:defRPr sz="1200"/>
            </a:pPr>
            <a:endParaRPr lang="en-US"/>
          </a:p>
        </c:txPr>
        <c:crossAx val="138374528"/>
        <c:crosses val="autoZero"/>
        <c:crossBetween val="between"/>
      </c:valAx>
    </c:plotArea>
    <c:legend>
      <c:legendPos val="r"/>
      <c:layout>
        <c:manualLayout>
          <c:xMode val="edge"/>
          <c:yMode val="edge"/>
          <c:x val="0.67786400441932793"/>
          <c:y val="0.17298899640971671"/>
          <c:w val="0.30870079421776414"/>
          <c:h val="0.72488254330810065"/>
        </c:manualLayout>
      </c:layout>
      <c:txPr>
        <a:bodyPr/>
        <a:lstStyle/>
        <a:p>
          <a:pPr>
            <a:defRPr sz="1400"/>
          </a:pPr>
          <a:endParaRPr lang="en-US"/>
        </a:p>
      </c:txPr>
    </c:legend>
    <c:plotVisOnly val="1"/>
  </c:chart>
  <c:printSettings>
    <c:headerFooter/>
    <c:pageMargins b="0.75000000000000766" l="0.70000000000000062" r="0.70000000000000062" t="0.750000000000007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2014-2016 Outlook: Funding </a:t>
            </a:r>
          </a:p>
          <a:p>
            <a:pPr>
              <a:defRPr/>
            </a:pPr>
            <a:r>
              <a:rPr lang="en-US"/>
              <a:t>(Including Council)</a:t>
            </a:r>
          </a:p>
        </c:rich>
      </c:tx>
    </c:title>
    <c:plotArea>
      <c:layout>
        <c:manualLayout>
          <c:layoutTarget val="inner"/>
          <c:xMode val="edge"/>
          <c:yMode val="edge"/>
          <c:x val="0.14567199718591878"/>
          <c:y val="0.27372871660273235"/>
          <c:w val="0.50148839642467369"/>
          <c:h val="0.61921293492159635"/>
        </c:manualLayout>
      </c:layout>
      <c:barChart>
        <c:barDir val="col"/>
        <c:grouping val="stacked"/>
        <c:ser>
          <c:idx val="0"/>
          <c:order val="0"/>
          <c:tx>
            <c:strRef>
              <c:f>'Category (2014-2016)'!$C$18</c:f>
              <c:strCache>
                <c:ptCount val="1"/>
                <c:pt idx="0">
                  <c:v>Contract RFP</c:v>
                </c:pt>
              </c:strCache>
            </c:strRef>
          </c:tx>
          <c:cat>
            <c:strRef>
              <c:f>'Category (2014-2016)'!$B$19:$B$21</c:f>
              <c:strCache>
                <c:ptCount val="3"/>
                <c:pt idx="0">
                  <c:v>Calendar 2014</c:v>
                </c:pt>
                <c:pt idx="1">
                  <c:v>Calendar 2015</c:v>
                </c:pt>
                <c:pt idx="2">
                  <c:v>Calendar 2016</c:v>
                </c:pt>
              </c:strCache>
            </c:strRef>
          </c:cat>
          <c:val>
            <c:numRef>
              <c:f>'Category (2014-2016)'!$C$19:$C$21</c:f>
              <c:numCache>
                <c:formatCode>"$"#,##0_);\("$"#,##0\)</c:formatCode>
                <c:ptCount val="3"/>
                <c:pt idx="0">
                  <c:v>482000</c:v>
                </c:pt>
                <c:pt idx="1">
                  <c:v>516800</c:v>
                </c:pt>
                <c:pt idx="2">
                  <c:v>567425</c:v>
                </c:pt>
              </c:numCache>
            </c:numRef>
          </c:val>
        </c:ser>
        <c:ser>
          <c:idx val="1"/>
          <c:order val="1"/>
          <c:tx>
            <c:strRef>
              <c:f>'Category (2014-2016)'!$D$18</c:f>
              <c:strCache>
                <c:ptCount val="1"/>
                <c:pt idx="0">
                  <c:v>RTF Contract Staff</c:v>
                </c:pt>
              </c:strCache>
            </c:strRef>
          </c:tx>
          <c:cat>
            <c:strRef>
              <c:f>'Category (2014-2016)'!$B$19:$B$21</c:f>
              <c:strCache>
                <c:ptCount val="3"/>
                <c:pt idx="0">
                  <c:v>Calendar 2014</c:v>
                </c:pt>
                <c:pt idx="1">
                  <c:v>Calendar 2015</c:v>
                </c:pt>
                <c:pt idx="2">
                  <c:v>Calendar 2016</c:v>
                </c:pt>
              </c:strCache>
            </c:strRef>
          </c:cat>
          <c:val>
            <c:numRef>
              <c:f>'Category (2014-2016)'!$D$19:$D$21</c:f>
              <c:numCache>
                <c:formatCode>"$"#,##0_);\("$"#,##0\)</c:formatCode>
                <c:ptCount val="3"/>
                <c:pt idx="0">
                  <c:v>991000</c:v>
                </c:pt>
                <c:pt idx="1">
                  <c:v>1099611</c:v>
                </c:pt>
                <c:pt idx="2">
                  <c:v>1208935.416</c:v>
                </c:pt>
              </c:numCache>
            </c:numRef>
          </c:val>
        </c:ser>
        <c:ser>
          <c:idx val="2"/>
          <c:order val="2"/>
          <c:tx>
            <c:strRef>
              <c:f>'Category (2014-2016)'!$F$18</c:f>
              <c:strCache>
                <c:ptCount val="1"/>
                <c:pt idx="0">
                  <c:v>Council Staff (In-Kind)</c:v>
                </c:pt>
              </c:strCache>
            </c:strRef>
          </c:tx>
          <c:cat>
            <c:strRef>
              <c:f>'Category (2014-2016)'!$B$19:$B$21</c:f>
              <c:strCache>
                <c:ptCount val="3"/>
                <c:pt idx="0">
                  <c:v>Calendar 2014</c:v>
                </c:pt>
                <c:pt idx="1">
                  <c:v>Calendar 2015</c:v>
                </c:pt>
                <c:pt idx="2">
                  <c:v>Calendar 2016</c:v>
                </c:pt>
              </c:strCache>
            </c:strRef>
          </c:cat>
          <c:val>
            <c:numRef>
              <c:f>'Category (2014-2016)'!$F$19:$F$21</c:f>
              <c:numCache>
                <c:formatCode>"$"#,##0_);\("$"#,##0\)</c:formatCode>
                <c:ptCount val="3"/>
                <c:pt idx="0">
                  <c:v>277100</c:v>
                </c:pt>
                <c:pt idx="1">
                  <c:v>268268.5</c:v>
                </c:pt>
                <c:pt idx="2">
                  <c:v>269204</c:v>
                </c:pt>
              </c:numCache>
            </c:numRef>
          </c:val>
        </c:ser>
        <c:gapWidth val="55"/>
        <c:overlap val="100"/>
        <c:axId val="139849728"/>
        <c:axId val="139851264"/>
      </c:barChart>
      <c:catAx>
        <c:axId val="139849728"/>
        <c:scaling>
          <c:orientation val="minMax"/>
        </c:scaling>
        <c:axPos val="b"/>
        <c:majorTickMark val="none"/>
        <c:tickLblPos val="nextTo"/>
        <c:crossAx val="139851264"/>
        <c:crosses val="autoZero"/>
        <c:auto val="1"/>
        <c:lblAlgn val="ctr"/>
        <c:lblOffset val="100"/>
      </c:catAx>
      <c:valAx>
        <c:axId val="139851264"/>
        <c:scaling>
          <c:orientation val="minMax"/>
        </c:scaling>
        <c:axPos val="l"/>
        <c:majorGridlines/>
        <c:numFmt formatCode="&quot;$&quot;#,##0_);\(&quot;$&quot;#,##0\)" sourceLinked="1"/>
        <c:majorTickMark val="none"/>
        <c:tickLblPos val="nextTo"/>
        <c:crossAx val="139849728"/>
        <c:crosses val="autoZero"/>
        <c:crossBetween val="between"/>
      </c:valAx>
    </c:plotArea>
    <c:legend>
      <c:legendPos val="r"/>
      <c:layout>
        <c:manualLayout>
          <c:xMode val="edge"/>
          <c:yMode val="edge"/>
          <c:x val="0.71588891594736226"/>
          <c:y val="0.4502163671848764"/>
          <c:w val="0.17414544831380621"/>
          <c:h val="0.34530726212415253"/>
        </c:manualLayout>
      </c:layout>
    </c:legend>
    <c:plotVisOnly val="1"/>
  </c:chart>
  <c:printSettings>
    <c:headerFooter/>
    <c:pageMargins b="0.7500000000000091" l="0.70000000000000062" r="0.70000000000000062" t="0.750000000000009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2014-2016 Outlook: Category</a:t>
            </a:r>
          </a:p>
          <a:p>
            <a:pPr>
              <a:defRPr/>
            </a:pPr>
            <a:r>
              <a:rPr lang="en-US"/>
              <a:t>(Not including Council)</a:t>
            </a:r>
          </a:p>
        </c:rich>
      </c:tx>
    </c:title>
    <c:plotArea>
      <c:layout/>
      <c:barChart>
        <c:barDir val="col"/>
        <c:grouping val="stacked"/>
        <c:ser>
          <c:idx val="2"/>
          <c:order val="0"/>
          <c:tx>
            <c:strRef>
              <c:f>'Category (2014-2016)'!$B$35</c:f>
              <c:strCache>
                <c:ptCount val="1"/>
                <c:pt idx="0">
                  <c:v>RTF Management</c:v>
                </c:pt>
              </c:strCache>
            </c:strRef>
          </c:tx>
          <c:cat>
            <c:strRef>
              <c:f>'Category (2014-2016)'!$C$32:$E$32</c:f>
              <c:strCache>
                <c:ptCount val="3"/>
                <c:pt idx="0">
                  <c:v>CY 2014</c:v>
                </c:pt>
                <c:pt idx="1">
                  <c:v>CY 2015</c:v>
                </c:pt>
                <c:pt idx="2">
                  <c:v>CY 2016</c:v>
                </c:pt>
              </c:strCache>
            </c:strRef>
          </c:cat>
          <c:val>
            <c:numRef>
              <c:f>'Category (2014-2016)'!$C$35:$E$35</c:f>
              <c:numCache>
                <c:formatCode>"$"#,##0_);\("$"#,##0\)</c:formatCode>
                <c:ptCount val="3"/>
                <c:pt idx="0">
                  <c:v>410000</c:v>
                </c:pt>
                <c:pt idx="1">
                  <c:v>470004</c:v>
                </c:pt>
                <c:pt idx="2">
                  <c:v>555105</c:v>
                </c:pt>
              </c:numCache>
            </c:numRef>
          </c:val>
        </c:ser>
        <c:ser>
          <c:idx val="1"/>
          <c:order val="1"/>
          <c:tx>
            <c:strRef>
              <c:f>'Category (2014-2016)'!$B$34</c:f>
              <c:strCache>
                <c:ptCount val="1"/>
                <c:pt idx="0">
                  <c:v>Tools, Research, Data &amp; Regional Coordination</c:v>
                </c:pt>
              </c:strCache>
            </c:strRef>
          </c:tx>
          <c:cat>
            <c:strRef>
              <c:f>'Category (2014-2016)'!$C$32:$E$32</c:f>
              <c:strCache>
                <c:ptCount val="3"/>
                <c:pt idx="0">
                  <c:v>CY 2014</c:v>
                </c:pt>
                <c:pt idx="1">
                  <c:v>CY 2015</c:v>
                </c:pt>
                <c:pt idx="2">
                  <c:v>CY 2016</c:v>
                </c:pt>
              </c:strCache>
            </c:strRef>
          </c:cat>
          <c:val>
            <c:numRef>
              <c:f>'Category (2014-2016)'!$C$34:$E$34</c:f>
              <c:numCache>
                <c:formatCode>"$"#,##0_);\("$"#,##0\)</c:formatCode>
                <c:ptCount val="3"/>
                <c:pt idx="0">
                  <c:v>323500</c:v>
                </c:pt>
                <c:pt idx="1">
                  <c:v>306472</c:v>
                </c:pt>
                <c:pt idx="2">
                  <c:v>297980.40000000002</c:v>
                </c:pt>
              </c:numCache>
            </c:numRef>
          </c:val>
        </c:ser>
        <c:ser>
          <c:idx val="0"/>
          <c:order val="2"/>
          <c:tx>
            <c:strRef>
              <c:f>'Category (2014-2016)'!$B$33</c:f>
              <c:strCache>
                <c:ptCount val="1"/>
                <c:pt idx="0">
                  <c:v>Measure Review &amp; Technical Analysis</c:v>
                </c:pt>
              </c:strCache>
            </c:strRef>
          </c:tx>
          <c:cat>
            <c:strRef>
              <c:f>'Category (2014-2016)'!$C$32:$E$32</c:f>
              <c:strCache>
                <c:ptCount val="3"/>
                <c:pt idx="0">
                  <c:v>CY 2014</c:v>
                </c:pt>
                <c:pt idx="1">
                  <c:v>CY 2015</c:v>
                </c:pt>
                <c:pt idx="2">
                  <c:v>CY 2016</c:v>
                </c:pt>
              </c:strCache>
            </c:strRef>
          </c:cat>
          <c:val>
            <c:numRef>
              <c:f>'Category (2014-2016)'!$C$33:$E$33</c:f>
              <c:numCache>
                <c:formatCode>"$"#,##0_);\("$"#,##0\)</c:formatCode>
                <c:ptCount val="3"/>
                <c:pt idx="0">
                  <c:v>739500</c:v>
                </c:pt>
                <c:pt idx="1">
                  <c:v>839935</c:v>
                </c:pt>
                <c:pt idx="2">
                  <c:v>876777.5</c:v>
                </c:pt>
              </c:numCache>
            </c:numRef>
          </c:val>
        </c:ser>
        <c:overlap val="100"/>
        <c:axId val="153901696"/>
        <c:axId val="153911680"/>
      </c:barChart>
      <c:catAx>
        <c:axId val="153901696"/>
        <c:scaling>
          <c:orientation val="minMax"/>
        </c:scaling>
        <c:axPos val="b"/>
        <c:tickLblPos val="nextTo"/>
        <c:crossAx val="153911680"/>
        <c:crosses val="autoZero"/>
        <c:auto val="1"/>
        <c:lblAlgn val="ctr"/>
        <c:lblOffset val="100"/>
      </c:catAx>
      <c:valAx>
        <c:axId val="153911680"/>
        <c:scaling>
          <c:orientation val="minMax"/>
        </c:scaling>
        <c:axPos val="l"/>
        <c:majorGridlines/>
        <c:numFmt formatCode="&quot;$&quot;#,##0_);\(&quot;$&quot;#,##0\)" sourceLinked="1"/>
        <c:tickLblPos val="nextTo"/>
        <c:crossAx val="153901696"/>
        <c:crosses val="autoZero"/>
        <c:crossBetween val="between"/>
      </c:valAx>
    </c:plotArea>
    <c:legend>
      <c:legendPos val="r"/>
      <c:layout>
        <c:manualLayout>
          <c:xMode val="edge"/>
          <c:yMode val="edge"/>
          <c:x val="0.66851531058619063"/>
          <c:y val="0.36263201793653344"/>
          <c:w val="0.31481802274716303"/>
          <c:h val="0.43651645585118187"/>
        </c:manualLayout>
      </c:layout>
    </c:legend>
    <c:plotVisOnly val="1"/>
  </c:chart>
  <c:printSettings>
    <c:headerFooter/>
    <c:pageMargins b="0.75000000000000877" l="0.70000000000000062" r="0.70000000000000062" t="0.75000000000000877"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2014-2016 Outlook: Category</a:t>
            </a:r>
          </a:p>
          <a:p>
            <a:pPr>
              <a:defRPr/>
            </a:pPr>
            <a:r>
              <a:rPr lang="en-US"/>
              <a:t>(Including Council)</a:t>
            </a:r>
          </a:p>
        </c:rich>
      </c:tx>
    </c:title>
    <c:plotArea>
      <c:layout/>
      <c:barChart>
        <c:barDir val="col"/>
        <c:grouping val="stacked"/>
        <c:ser>
          <c:idx val="0"/>
          <c:order val="0"/>
          <c:tx>
            <c:strRef>
              <c:f>'Category (2014-2016)'!$B$42</c:f>
              <c:strCache>
                <c:ptCount val="1"/>
                <c:pt idx="0">
                  <c:v>RTF Management</c:v>
                </c:pt>
              </c:strCache>
            </c:strRef>
          </c:tx>
          <c:spPr>
            <a:solidFill>
              <a:schemeClr val="accent3"/>
            </a:solidFill>
          </c:spPr>
          <c:cat>
            <c:strRef>
              <c:f>'Category (2014-2016)'!$C$39:$E$39</c:f>
              <c:strCache>
                <c:ptCount val="3"/>
                <c:pt idx="0">
                  <c:v>CY 2014</c:v>
                </c:pt>
                <c:pt idx="1">
                  <c:v>CY 2015</c:v>
                </c:pt>
                <c:pt idx="2">
                  <c:v>CY 2016</c:v>
                </c:pt>
              </c:strCache>
            </c:strRef>
          </c:cat>
          <c:val>
            <c:numRef>
              <c:f>'Category (2014-2016)'!$C$42:$E$42</c:f>
              <c:numCache>
                <c:formatCode>"$"#,##0_);\("$"#,##0\)</c:formatCode>
                <c:ptCount val="3"/>
                <c:pt idx="0">
                  <c:v>602000</c:v>
                </c:pt>
                <c:pt idx="1">
                  <c:v>647314</c:v>
                </c:pt>
                <c:pt idx="2">
                  <c:v>732269</c:v>
                </c:pt>
              </c:numCache>
            </c:numRef>
          </c:val>
        </c:ser>
        <c:ser>
          <c:idx val="1"/>
          <c:order val="1"/>
          <c:tx>
            <c:strRef>
              <c:f>'Category (2014-2016)'!$B$41</c:f>
              <c:strCache>
                <c:ptCount val="1"/>
                <c:pt idx="0">
                  <c:v>Tools, Research, Data &amp; Regional Coordination</c:v>
                </c:pt>
              </c:strCache>
            </c:strRef>
          </c:tx>
          <c:cat>
            <c:strRef>
              <c:f>'Category (2014-2016)'!$C$39:$E$39</c:f>
              <c:strCache>
                <c:ptCount val="3"/>
                <c:pt idx="0">
                  <c:v>CY 2014</c:v>
                </c:pt>
                <c:pt idx="1">
                  <c:v>CY 2015</c:v>
                </c:pt>
                <c:pt idx="2">
                  <c:v>CY 2016</c:v>
                </c:pt>
              </c:strCache>
            </c:strRef>
          </c:cat>
          <c:val>
            <c:numRef>
              <c:f>'Category (2014-2016)'!$C$41:$E$41</c:f>
              <c:numCache>
                <c:formatCode>"$"#,##0_);\("$"#,##0\)</c:formatCode>
                <c:ptCount val="3"/>
                <c:pt idx="0">
                  <c:v>397000</c:v>
                </c:pt>
                <c:pt idx="1">
                  <c:v>384349</c:v>
                </c:pt>
                <c:pt idx="2">
                  <c:v>378528.4</c:v>
                </c:pt>
              </c:numCache>
            </c:numRef>
          </c:val>
        </c:ser>
        <c:ser>
          <c:idx val="2"/>
          <c:order val="2"/>
          <c:tx>
            <c:strRef>
              <c:f>'Category (2014-2016)'!$B$40</c:f>
              <c:strCache>
                <c:ptCount val="1"/>
                <c:pt idx="0">
                  <c:v>Measure Review &amp; Technical Analysis</c:v>
                </c:pt>
              </c:strCache>
            </c:strRef>
          </c:tx>
          <c:spPr>
            <a:solidFill>
              <a:schemeClr val="accent1"/>
            </a:solidFill>
          </c:spPr>
          <c:cat>
            <c:strRef>
              <c:f>'Category (2014-2016)'!$C$39:$E$39</c:f>
              <c:strCache>
                <c:ptCount val="3"/>
                <c:pt idx="0">
                  <c:v>CY 2014</c:v>
                </c:pt>
                <c:pt idx="1">
                  <c:v>CY 2015</c:v>
                </c:pt>
                <c:pt idx="2">
                  <c:v>CY 2016</c:v>
                </c:pt>
              </c:strCache>
            </c:strRef>
          </c:cat>
          <c:val>
            <c:numRef>
              <c:f>'Category (2014-2016)'!$C$40:$E$40</c:f>
              <c:numCache>
                <c:formatCode>"$"#,##0_);\("$"#,##0\)</c:formatCode>
                <c:ptCount val="3"/>
                <c:pt idx="0">
                  <c:v>751100</c:v>
                </c:pt>
                <c:pt idx="1">
                  <c:v>853016.5</c:v>
                </c:pt>
                <c:pt idx="2">
                  <c:v>888269.5</c:v>
                </c:pt>
              </c:numCache>
            </c:numRef>
          </c:val>
        </c:ser>
        <c:overlap val="100"/>
        <c:axId val="153949696"/>
        <c:axId val="153951232"/>
      </c:barChart>
      <c:catAx>
        <c:axId val="153949696"/>
        <c:scaling>
          <c:orientation val="minMax"/>
        </c:scaling>
        <c:axPos val="b"/>
        <c:numFmt formatCode="&quot;$&quot;#,##0_);\(&quot;$&quot;#,##0\)" sourceLinked="1"/>
        <c:tickLblPos val="nextTo"/>
        <c:crossAx val="153951232"/>
        <c:crosses val="autoZero"/>
        <c:auto val="1"/>
        <c:lblAlgn val="ctr"/>
        <c:lblOffset val="100"/>
      </c:catAx>
      <c:valAx>
        <c:axId val="153951232"/>
        <c:scaling>
          <c:orientation val="minMax"/>
        </c:scaling>
        <c:axPos val="l"/>
        <c:majorGridlines/>
        <c:numFmt formatCode="&quot;$&quot;#,##0_);\(&quot;$&quot;#,##0\)" sourceLinked="1"/>
        <c:tickLblPos val="nextTo"/>
        <c:crossAx val="153949696"/>
        <c:crosses val="autoZero"/>
        <c:crossBetween val="between"/>
      </c:valAx>
    </c:plotArea>
    <c:legend>
      <c:legendPos val="r"/>
      <c:layout>
        <c:manualLayout>
          <c:xMode val="edge"/>
          <c:yMode val="edge"/>
          <c:x val="0.66851531058619085"/>
          <c:y val="0.39761744067706084"/>
          <c:w val="0.31481802274716325"/>
          <c:h val="0.44429099423796531"/>
        </c:manualLayout>
      </c:layout>
    </c:legend>
    <c:plotVisOnly val="1"/>
  </c:chart>
  <c:printSettings>
    <c:headerFooter/>
    <c:pageMargins b="0.75000000000000899" l="0.70000000000000062" r="0.70000000000000062" t="0.7500000000000089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showVal val="1"/>
            <c:showCatName val="1"/>
            <c:showLeaderLines val="1"/>
          </c:dLbls>
          <c:cat>
            <c:strRef>
              <c:f>'Funding Shares'!$A$8:$A$20</c:f>
              <c:strCache>
                <c:ptCount val="13"/>
                <c:pt idx="0">
                  <c:v>Bonneville Power Administration</c:v>
                </c:pt>
                <c:pt idx="1">
                  <c:v>Energy Trust of Oregon</c:v>
                </c:pt>
                <c:pt idx="2">
                  <c:v>Puget Sound Energy</c:v>
                </c:pt>
                <c:pt idx="3">
                  <c:v>Idaho Power Company</c:v>
                </c:pt>
                <c:pt idx="4">
                  <c:v>Avista Corporation, Inc</c:v>
                </c:pt>
                <c:pt idx="5">
                  <c:v>PacifiCorp</c:v>
                </c:pt>
                <c:pt idx="6">
                  <c:v>Northwestern Energy</c:v>
                </c:pt>
                <c:pt idx="7">
                  <c:v>Seattle City Light</c:v>
                </c:pt>
                <c:pt idx="8">
                  <c:v>Clark Public Utilities</c:v>
                </c:pt>
                <c:pt idx="9">
                  <c:v>Tacoma Power</c:v>
                </c:pt>
                <c:pt idx="10">
                  <c:v>PUD #1 of Snohomish</c:v>
                </c:pt>
                <c:pt idx="11">
                  <c:v>Eugene Water and Electric Board</c:v>
                </c:pt>
                <c:pt idx="12">
                  <c:v>PUD #1 of Cowlitz County</c:v>
                </c:pt>
              </c:strCache>
            </c:strRef>
          </c:cat>
          <c:val>
            <c:numRef>
              <c:f>'Funding Shares'!$B$8:$B$20</c:f>
              <c:numCache>
                <c:formatCode>0.0%</c:formatCode>
                <c:ptCount val="13"/>
                <c:pt idx="0">
                  <c:v>0.35491098436645985</c:v>
                </c:pt>
                <c:pt idx="1">
                  <c:v>0.20525957851608623</c:v>
                </c:pt>
                <c:pt idx="2">
                  <c:v>0.13718045536284248</c:v>
                </c:pt>
                <c:pt idx="3">
                  <c:v>8.6172223450727434E-2</c:v>
                </c:pt>
                <c:pt idx="4">
                  <c:v>5.5301509948806102E-2</c:v>
                </c:pt>
                <c:pt idx="5">
                  <c:v>4.5079419385255989E-2</c:v>
                </c:pt>
                <c:pt idx="6">
                  <c:v>3.8128397802041913E-2</c:v>
                </c:pt>
                <c:pt idx="7">
                  <c:v>3.7208409651322404E-2</c:v>
                </c:pt>
                <c:pt idx="8">
                  <c:v>1.3596423519987317E-2</c:v>
                </c:pt>
                <c:pt idx="9">
                  <c:v>1.1244299619905123E-2</c:v>
                </c:pt>
                <c:pt idx="10">
                  <c:v>7.8710097339335858E-3</c:v>
                </c:pt>
                <c:pt idx="11">
                  <c:v>5.1851032848375103E-3</c:v>
                </c:pt>
                <c:pt idx="12">
                  <c:v>2.8621853577940311E-3</c:v>
                </c:pt>
              </c:numCache>
            </c:numRef>
          </c:val>
        </c:ser>
        <c:dLbls>
          <c:showVal val="1"/>
          <c:showCatName val="1"/>
        </c:dLbls>
        <c:firstSliceAng val="0"/>
      </c:pieChart>
    </c:plotArea>
    <c:plotVisOnly val="1"/>
  </c:chart>
  <c:printSettings>
    <c:headerFooter/>
    <c:pageMargins b="0.75000000000000466" l="0.70000000000000062" r="0.70000000000000062" t="0.750000000000004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budgets - Contract RFP Allocation</a:t>
            </a:r>
          </a:p>
        </c:rich>
      </c:tx>
      <c:layout/>
      <c:overlay val="1"/>
    </c:title>
    <c:plotArea>
      <c:layout/>
      <c:barChart>
        <c:barDir val="col"/>
        <c:grouping val="stacked"/>
        <c:ser>
          <c:idx val="8"/>
          <c:order val="0"/>
          <c:tx>
            <c:strRef>
              <c:f>'Category (2014)'!$B$14</c:f>
              <c:strCache>
                <c:ptCount val="1"/>
                <c:pt idx="0">
                  <c:v>RTF Management</c:v>
                </c:pt>
              </c:strCache>
            </c:strRef>
          </c:tx>
          <c:cat>
            <c:strRef>
              <c:f>('Category (2014)'!$O$5,'Category (2014)'!$I$5,'Category (2014)'!$C$5)</c:f>
              <c:strCache>
                <c:ptCount val="3"/>
                <c:pt idx="0">
                  <c:v>Contract RFP 
2012</c:v>
                </c:pt>
                <c:pt idx="1">
                  <c:v>Contract RFP 
2013</c:v>
                </c:pt>
                <c:pt idx="2">
                  <c:v>Contract RFP
2014</c:v>
                </c:pt>
              </c:strCache>
            </c:strRef>
          </c:cat>
          <c:val>
            <c:numRef>
              <c:f>('Category (2014)'!$O$14,'Category (2014)'!$I$14,'Category (2014)'!$C$14)</c:f>
              <c:numCache>
                <c:formatCode>"$"#,##0_);\("$"#,##0\)</c:formatCode>
                <c:ptCount val="3"/>
                <c:pt idx="0">
                  <c:v>4910.0000000000009</c:v>
                </c:pt>
                <c:pt idx="1">
                  <c:v>2946.0000000000005</c:v>
                </c:pt>
                <c:pt idx="2">
                  <c:v>4000</c:v>
                </c:pt>
              </c:numCache>
            </c:numRef>
          </c:val>
        </c:ser>
        <c:ser>
          <c:idx val="7"/>
          <c:order val="1"/>
          <c:tx>
            <c:strRef>
              <c:f>'Category (2014)'!$B$13</c:f>
              <c:strCache>
                <c:ptCount val="1"/>
                <c:pt idx="0">
                  <c:v>RTF Member Support &amp; Administration</c:v>
                </c:pt>
              </c:strCache>
            </c:strRef>
          </c:tx>
          <c:cat>
            <c:strRef>
              <c:f>('Category (2014)'!$O$5,'Category (2014)'!$I$5,'Category (2014)'!$C$5)</c:f>
              <c:strCache>
                <c:ptCount val="3"/>
                <c:pt idx="0">
                  <c:v>Contract RFP 
2012</c:v>
                </c:pt>
                <c:pt idx="1">
                  <c:v>Contract RFP 
2013</c:v>
                </c:pt>
                <c:pt idx="2">
                  <c:v>Contract RFP
2014</c:v>
                </c:pt>
              </c:strCache>
            </c:strRef>
          </c:cat>
          <c:val>
            <c:numRef>
              <c:f>('Category (2014)'!$O$13,'Category (2014)'!$I$13,'Category (2014)'!$C$13)</c:f>
              <c:numCache>
                <c:formatCode>"$"#,##0_);\("$"#,##0\)</c:formatCode>
                <c:ptCount val="3"/>
                <c:pt idx="0">
                  <c:v>170868.00000000003</c:v>
                </c:pt>
                <c:pt idx="1">
                  <c:v>170868.00000000003</c:v>
                </c:pt>
                <c:pt idx="2">
                  <c:v>145000</c:v>
                </c:pt>
              </c:numCache>
            </c:numRef>
          </c:val>
        </c:ser>
        <c:ser>
          <c:idx val="6"/>
          <c:order val="2"/>
          <c:tx>
            <c:strRef>
              <c:f>'Category (2014)'!$B$12</c:f>
              <c:strCache>
                <c:ptCount val="1"/>
                <c:pt idx="0">
                  <c:v>Website, Database support, Conservation Tracking </c:v>
                </c:pt>
              </c:strCache>
            </c:strRef>
          </c:tx>
          <c:cat>
            <c:strRef>
              <c:f>('Category (2014)'!$O$5,'Category (2014)'!$I$5,'Category (2014)'!$C$5)</c:f>
              <c:strCache>
                <c:ptCount val="3"/>
                <c:pt idx="0">
                  <c:v>Contract RFP 
2012</c:v>
                </c:pt>
                <c:pt idx="1">
                  <c:v>Contract RFP 
2013</c:v>
                </c:pt>
                <c:pt idx="2">
                  <c:v>Contract RFP
2014</c:v>
                </c:pt>
              </c:strCache>
            </c:strRef>
          </c:cat>
          <c:val>
            <c:numRef>
              <c:f>('Category (2014)'!$O$12,'Category (2014)'!$I$12,'Category (2014)'!$C$12)</c:f>
              <c:numCache>
                <c:formatCode>"$"#,##0_);\("$"#,##0\)</c:formatCode>
                <c:ptCount val="3"/>
                <c:pt idx="0">
                  <c:v>0</c:v>
                </c:pt>
                <c:pt idx="1">
                  <c:v>0</c:v>
                </c:pt>
                <c:pt idx="2">
                  <c:v>25000</c:v>
                </c:pt>
              </c:numCache>
            </c:numRef>
          </c:val>
        </c:ser>
        <c:ser>
          <c:idx val="5"/>
          <c:order val="3"/>
          <c:tx>
            <c:strRef>
              <c:f>'Category (2014)'!$B$11</c:f>
              <c:strCache>
                <c:ptCount val="1"/>
                <c:pt idx="0">
                  <c:v>Regional Coordination</c:v>
                </c:pt>
              </c:strCache>
            </c:strRef>
          </c:tx>
          <c:cat>
            <c:strRef>
              <c:f>('Category (2014)'!$O$5,'Category (2014)'!$I$5,'Category (2014)'!$C$5)</c:f>
              <c:strCache>
                <c:ptCount val="3"/>
                <c:pt idx="0">
                  <c:v>Contract RFP 
2012</c:v>
                </c:pt>
                <c:pt idx="1">
                  <c:v>Contract RFP 
2013</c:v>
                </c:pt>
                <c:pt idx="2">
                  <c:v>Contract RFP
2014</c:v>
                </c:pt>
              </c:strCache>
            </c:strRef>
          </c:cat>
          <c:val>
            <c:numRef>
              <c:f>('Category (2014)'!$O$11,'Category (2014)'!$I$11,'Category (2014)'!$C$11)</c:f>
              <c:numCache>
                <c:formatCode>"$"#,##0_);\("$"#,##0\)</c:formatCode>
                <c:ptCount val="3"/>
                <c:pt idx="0">
                  <c:v>0</c:v>
                </c:pt>
                <c:pt idx="1">
                  <c:v>19640.000000000004</c:v>
                </c:pt>
                <c:pt idx="2">
                  <c:v>12500</c:v>
                </c:pt>
              </c:numCache>
            </c:numRef>
          </c:val>
        </c:ser>
        <c:ser>
          <c:idx val="4"/>
          <c:order val="4"/>
          <c:tx>
            <c:strRef>
              <c:f>'Category (2014)'!$B$10</c:f>
              <c:strCache>
                <c:ptCount val="1"/>
                <c:pt idx="0">
                  <c:v>Research Projects &amp; Data Development</c:v>
                </c:pt>
              </c:strCache>
            </c:strRef>
          </c:tx>
          <c:cat>
            <c:strRef>
              <c:f>('Category (2014)'!$O$5,'Category (2014)'!$I$5,'Category (2014)'!$C$5)</c:f>
              <c:strCache>
                <c:ptCount val="3"/>
                <c:pt idx="0">
                  <c:v>Contract RFP 
2012</c:v>
                </c:pt>
                <c:pt idx="1">
                  <c:v>Contract RFP 
2013</c:v>
                </c:pt>
                <c:pt idx="2">
                  <c:v>Contract RFP
2014</c:v>
                </c:pt>
              </c:strCache>
            </c:strRef>
          </c:cat>
          <c:val>
            <c:numRef>
              <c:f>('Category (2014)'!$O$10,'Category (2014)'!$I$10,'Category (2014)'!$C$10)</c:f>
              <c:numCache>
                <c:formatCode>"$"#,##0_);\("$"#,##0\)</c:formatCode>
                <c:ptCount val="3"/>
                <c:pt idx="0">
                  <c:v>176760.00000000003</c:v>
                </c:pt>
                <c:pt idx="1">
                  <c:v>124714.00000000001</c:v>
                </c:pt>
                <c:pt idx="2">
                  <c:v>60000</c:v>
                </c:pt>
              </c:numCache>
            </c:numRef>
          </c:val>
        </c:ser>
        <c:ser>
          <c:idx val="3"/>
          <c:order val="5"/>
          <c:tx>
            <c:strRef>
              <c:f>'Category (2014)'!$B$9</c:f>
              <c:strCache>
                <c:ptCount val="1"/>
                <c:pt idx="0">
                  <c:v>Tool Development</c:v>
                </c:pt>
              </c:strCache>
            </c:strRef>
          </c:tx>
          <c:cat>
            <c:strRef>
              <c:f>('Category (2014)'!$O$5,'Category (2014)'!$I$5,'Category (2014)'!$C$5)</c:f>
              <c:strCache>
                <c:ptCount val="3"/>
                <c:pt idx="0">
                  <c:v>Contract RFP 
2012</c:v>
                </c:pt>
                <c:pt idx="1">
                  <c:v>Contract RFP 
2013</c:v>
                </c:pt>
                <c:pt idx="2">
                  <c:v>Contract RFP
2014</c:v>
                </c:pt>
              </c:strCache>
            </c:strRef>
          </c:cat>
          <c:val>
            <c:numRef>
              <c:f>('Category (2014)'!$O$9,'Category (2014)'!$I$9,'Category (2014)'!$C$9)</c:f>
              <c:numCache>
                <c:formatCode>"$"#,##0_);\("$"#,##0\)</c:formatCode>
                <c:ptCount val="3"/>
                <c:pt idx="0">
                  <c:v>84452.000000000015</c:v>
                </c:pt>
                <c:pt idx="1">
                  <c:v>55974.000000000007</c:v>
                </c:pt>
                <c:pt idx="2">
                  <c:v>65000</c:v>
                </c:pt>
              </c:numCache>
            </c:numRef>
          </c:val>
        </c:ser>
        <c:ser>
          <c:idx val="2"/>
          <c:order val="6"/>
          <c:tx>
            <c:strRef>
              <c:f>'Category (2014)'!$B$8</c:f>
              <c:strCache>
                <c:ptCount val="1"/>
                <c:pt idx="0">
                  <c:v>Standardization of Technical Analysis</c:v>
                </c:pt>
              </c:strCache>
            </c:strRef>
          </c:tx>
          <c:cat>
            <c:strRef>
              <c:f>('Category (2014)'!$O$5,'Category (2014)'!$I$5,'Category (2014)'!$C$5)</c:f>
              <c:strCache>
                <c:ptCount val="3"/>
                <c:pt idx="0">
                  <c:v>Contract RFP 
2012</c:v>
                </c:pt>
                <c:pt idx="1">
                  <c:v>Contract RFP 
2013</c:v>
                </c:pt>
                <c:pt idx="2">
                  <c:v>Contract RFP
2014</c:v>
                </c:pt>
              </c:strCache>
            </c:strRef>
          </c:cat>
          <c:val>
            <c:numRef>
              <c:f>('Category (2014)'!$O$8,'Category (2014)'!$I$8,'Category (2014)'!$C$8)</c:f>
              <c:numCache>
                <c:formatCode>"$"#,##0_);\("$"#,##0\)</c:formatCode>
                <c:ptCount val="3"/>
                <c:pt idx="0">
                  <c:v>131588</c:v>
                </c:pt>
                <c:pt idx="1">
                  <c:v>43208.000000000007</c:v>
                </c:pt>
                <c:pt idx="2">
                  <c:v>40000</c:v>
                </c:pt>
              </c:numCache>
            </c:numRef>
          </c:val>
        </c:ser>
        <c:ser>
          <c:idx val="1"/>
          <c:order val="7"/>
          <c:tx>
            <c:strRef>
              <c:f>'Category (2014)'!$B$7</c:f>
              <c:strCache>
                <c:ptCount val="1"/>
                <c:pt idx="0">
                  <c:v>New Measure Development &amp; Review of Unsolicited Proposals</c:v>
                </c:pt>
              </c:strCache>
            </c:strRef>
          </c:tx>
          <c:cat>
            <c:strRef>
              <c:f>('Category (2014)'!$O$5,'Category (2014)'!$I$5,'Category (2014)'!$C$5)</c:f>
              <c:strCache>
                <c:ptCount val="3"/>
                <c:pt idx="0">
                  <c:v>Contract RFP 
2012</c:v>
                </c:pt>
                <c:pt idx="1">
                  <c:v>Contract RFP 
2013</c:v>
                </c:pt>
                <c:pt idx="2">
                  <c:v>Contract RFP
2014</c:v>
                </c:pt>
              </c:strCache>
            </c:strRef>
          </c:cat>
          <c:val>
            <c:numRef>
              <c:f>('Category (2014)'!$O$7,'Category (2014)'!$I$7,'Category (2014)'!$C$7)</c:f>
              <c:numCache>
                <c:formatCode>"$"#,##0_);\("$"#,##0\)</c:formatCode>
                <c:ptCount val="3"/>
                <c:pt idx="0">
                  <c:v>99182.000000000015</c:v>
                </c:pt>
                <c:pt idx="1">
                  <c:v>90344.000000000015</c:v>
                </c:pt>
                <c:pt idx="2">
                  <c:v>65000</c:v>
                </c:pt>
              </c:numCache>
            </c:numRef>
          </c:val>
        </c:ser>
        <c:ser>
          <c:idx val="0"/>
          <c:order val="8"/>
          <c:tx>
            <c:strRef>
              <c:f>'Category (2014)'!$B$6</c:f>
              <c:strCache>
                <c:ptCount val="1"/>
                <c:pt idx="0">
                  <c:v>Existing Measure Review &amp; Updates</c:v>
                </c:pt>
              </c:strCache>
            </c:strRef>
          </c:tx>
          <c:cat>
            <c:strRef>
              <c:f>('Category (2014)'!$O$5,'Category (2014)'!$I$5,'Category (2014)'!$C$5)</c:f>
              <c:strCache>
                <c:ptCount val="3"/>
                <c:pt idx="0">
                  <c:v>Contract RFP 
2012</c:v>
                </c:pt>
                <c:pt idx="1">
                  <c:v>Contract RFP 
2013</c:v>
                </c:pt>
                <c:pt idx="2">
                  <c:v>Contract RFP
2014</c:v>
                </c:pt>
              </c:strCache>
            </c:strRef>
          </c:cat>
          <c:val>
            <c:numRef>
              <c:f>('Category (2014)'!$O$6,'Category (2014)'!$I$6,'Category (2014)'!$C$6)</c:f>
              <c:numCache>
                <c:formatCode>"$"#,##0_);\("$"#,##0\)</c:formatCode>
                <c:ptCount val="3"/>
                <c:pt idx="0">
                  <c:v>392800.00000000006</c:v>
                </c:pt>
                <c:pt idx="1">
                  <c:v>118331.00000000001</c:v>
                </c:pt>
                <c:pt idx="2">
                  <c:v>65500</c:v>
                </c:pt>
              </c:numCache>
            </c:numRef>
          </c:val>
        </c:ser>
        <c:overlap val="100"/>
        <c:axId val="136875008"/>
        <c:axId val="136884992"/>
      </c:barChart>
      <c:catAx>
        <c:axId val="136875008"/>
        <c:scaling>
          <c:orientation val="minMax"/>
        </c:scaling>
        <c:axPos val="b"/>
        <c:tickLblPos val="nextTo"/>
        <c:txPr>
          <a:bodyPr/>
          <a:lstStyle/>
          <a:p>
            <a:pPr>
              <a:defRPr sz="1800" b="1"/>
            </a:pPr>
            <a:endParaRPr lang="en-US"/>
          </a:p>
        </c:txPr>
        <c:crossAx val="136884992"/>
        <c:crosses val="autoZero"/>
        <c:auto val="1"/>
        <c:lblAlgn val="ctr"/>
        <c:lblOffset val="100"/>
      </c:catAx>
      <c:valAx>
        <c:axId val="136884992"/>
        <c:scaling>
          <c:orientation val="minMax"/>
        </c:scaling>
        <c:axPos val="l"/>
        <c:numFmt formatCode="&quot;$&quot;#,##0_);\(&quot;$&quot;#,##0\)" sourceLinked="1"/>
        <c:tickLblPos val="nextTo"/>
        <c:txPr>
          <a:bodyPr/>
          <a:lstStyle/>
          <a:p>
            <a:pPr>
              <a:defRPr sz="1200"/>
            </a:pPr>
            <a:endParaRPr lang="en-US"/>
          </a:p>
        </c:txPr>
        <c:crossAx val="136875008"/>
        <c:crosses val="autoZero"/>
        <c:crossBetween val="between"/>
      </c:valAx>
    </c:plotArea>
    <c:legend>
      <c:legendPos val="r"/>
      <c:layout/>
      <c:txPr>
        <a:bodyPr/>
        <a:lstStyle/>
        <a:p>
          <a:pPr>
            <a:defRPr sz="1400"/>
          </a:pPr>
          <a:endParaRPr lang="en-US"/>
        </a:p>
      </c:txPr>
    </c:legend>
    <c:plotVisOnly val="1"/>
  </c:chart>
  <c:printSettings>
    <c:headerFooter/>
    <c:pageMargins b="0.75000000000000688" l="0.70000000000000062" r="0.70000000000000062" t="0.750000000000006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1" i="0" u="none" strike="noStrike" kern="1200" baseline="0">
                <a:solidFill>
                  <a:sysClr val="windowText" lastClr="000000"/>
                </a:solidFill>
                <a:latin typeface="+mn-lt"/>
                <a:ea typeface="+mn-ea"/>
                <a:cs typeface="+mn-cs"/>
              </a:defRPr>
            </a:pPr>
            <a:r>
              <a:rPr lang="en-US" sz="1800" b="1" i="0" baseline="0"/>
              <a:t>Contract Staff vs. Contract RFP: By Category</a:t>
            </a:r>
            <a:endParaRPr lang="en-US"/>
          </a:p>
        </c:rich>
      </c:tx>
    </c:title>
    <c:plotArea>
      <c:layout/>
      <c:barChart>
        <c:barDir val="col"/>
        <c:grouping val="stacked"/>
        <c:ser>
          <c:idx val="0"/>
          <c:order val="0"/>
          <c:tx>
            <c:strRef>
              <c:f>'Category (2014)'!$U$6</c:f>
              <c:strCache>
                <c:ptCount val="1"/>
                <c:pt idx="0">
                  <c:v>Technical Analysis</c:v>
                </c:pt>
              </c:strCache>
            </c:strRef>
          </c:tx>
          <c:cat>
            <c:strRef>
              <c:f>('Category (2014)'!$V$5:$W$5,'Category (2014)'!$Z$5:$AA$5,'Category (2014)'!$AD$5:$AE$5)</c:f>
              <c:strCache>
                <c:ptCount val="6"/>
                <c:pt idx="0">
                  <c:v>Contract RFP 2012</c:v>
                </c:pt>
                <c:pt idx="1">
                  <c:v>RTF Contract Staff 
2012</c:v>
                </c:pt>
                <c:pt idx="2">
                  <c:v>Contract RFP
2013</c:v>
                </c:pt>
                <c:pt idx="3">
                  <c:v>RTF Contract Staff 
2013</c:v>
                </c:pt>
                <c:pt idx="4">
                  <c:v>Contract RFP
2014</c:v>
                </c:pt>
                <c:pt idx="5">
                  <c:v>RTF Contract Staff 
2014</c:v>
                </c:pt>
              </c:strCache>
            </c:strRef>
          </c:cat>
          <c:val>
            <c:numRef>
              <c:f>('Category (2014)'!$V$6:$W$6,'Category (2014)'!$Z$6:$AA$6,'Category (2014)'!$AD$6:$AE$6)</c:f>
              <c:numCache>
                <c:formatCode>"$"#,##0_);\("$"#,##0\)</c:formatCode>
                <c:ptCount val="6"/>
                <c:pt idx="0">
                  <c:v>623570</c:v>
                </c:pt>
                <c:pt idx="1">
                  <c:v>163012.00000000003</c:v>
                </c:pt>
                <c:pt idx="2">
                  <c:v>251883.00000000003</c:v>
                </c:pt>
                <c:pt idx="3">
                  <c:v>511229.20000000007</c:v>
                </c:pt>
                <c:pt idx="4">
                  <c:v>170500</c:v>
                </c:pt>
                <c:pt idx="5">
                  <c:v>569000</c:v>
                </c:pt>
              </c:numCache>
            </c:numRef>
          </c:val>
        </c:ser>
        <c:ser>
          <c:idx val="4"/>
          <c:order val="1"/>
          <c:tx>
            <c:strRef>
              <c:f>'Category (2014)'!$U$9</c:f>
              <c:strCache>
                <c:ptCount val="1"/>
                <c:pt idx="0">
                  <c:v>Tool Development, Research, Regional Coordination </c:v>
                </c:pt>
              </c:strCache>
            </c:strRef>
          </c:tx>
          <c:spPr>
            <a:solidFill>
              <a:schemeClr val="accent1">
                <a:lumMod val="20000"/>
                <a:lumOff val="80000"/>
              </a:schemeClr>
            </a:solidFill>
          </c:spPr>
          <c:cat>
            <c:strRef>
              <c:f>('Category (2014)'!$V$5:$W$5,'Category (2014)'!$Z$5:$AA$5,'Category (2014)'!$AD$5:$AE$5)</c:f>
              <c:strCache>
                <c:ptCount val="6"/>
                <c:pt idx="0">
                  <c:v>Contract RFP 2012</c:v>
                </c:pt>
                <c:pt idx="1">
                  <c:v>RTF Contract Staff 
2012</c:v>
                </c:pt>
                <c:pt idx="2">
                  <c:v>Contract RFP
2013</c:v>
                </c:pt>
                <c:pt idx="3">
                  <c:v>RTF Contract Staff 
2013</c:v>
                </c:pt>
                <c:pt idx="4">
                  <c:v>Contract RFP
2014</c:v>
                </c:pt>
                <c:pt idx="5">
                  <c:v>RTF Contract Staff 
2014</c:v>
                </c:pt>
              </c:strCache>
            </c:strRef>
          </c:cat>
          <c:val>
            <c:numRef>
              <c:f>('Category (2014)'!$V$9:$W$9,'Category (2014)'!$Z$9:$AA$9,'Category (2014)'!$AD$9:$AE$9)</c:f>
              <c:numCache>
                <c:formatCode>"$"#,##0_);\("$"#,##0\)</c:formatCode>
                <c:ptCount val="6"/>
                <c:pt idx="0">
                  <c:v>261212.00000000006</c:v>
                </c:pt>
                <c:pt idx="1">
                  <c:v>151228.00000000003</c:v>
                </c:pt>
                <c:pt idx="2">
                  <c:v>200328.00000000003</c:v>
                </c:pt>
                <c:pt idx="3">
                  <c:v>127561.8</c:v>
                </c:pt>
                <c:pt idx="4">
                  <c:v>137500</c:v>
                </c:pt>
                <c:pt idx="5">
                  <c:v>186000</c:v>
                </c:pt>
              </c:numCache>
            </c:numRef>
          </c:val>
        </c:ser>
        <c:ser>
          <c:idx val="6"/>
          <c:order val="2"/>
          <c:tx>
            <c:strRef>
              <c:f>'Category (2014)'!$U$12</c:f>
              <c:strCache>
                <c:ptCount val="1"/>
                <c:pt idx="0">
                  <c:v>Administration</c:v>
                </c:pt>
              </c:strCache>
            </c:strRef>
          </c:tx>
          <c:spPr>
            <a:solidFill>
              <a:schemeClr val="accent5">
                <a:lumMod val="60000"/>
                <a:lumOff val="40000"/>
              </a:schemeClr>
            </a:solidFill>
          </c:spPr>
          <c:cat>
            <c:strRef>
              <c:f>('Category (2014)'!$V$5:$W$5,'Category (2014)'!$Z$5:$AA$5,'Category (2014)'!$AD$5:$AE$5)</c:f>
              <c:strCache>
                <c:ptCount val="6"/>
                <c:pt idx="0">
                  <c:v>Contract RFP 2012</c:v>
                </c:pt>
                <c:pt idx="1">
                  <c:v>RTF Contract Staff 
2012</c:v>
                </c:pt>
                <c:pt idx="2">
                  <c:v>Contract RFP
2013</c:v>
                </c:pt>
                <c:pt idx="3">
                  <c:v>RTF Contract Staff 
2013</c:v>
                </c:pt>
                <c:pt idx="4">
                  <c:v>Contract RFP
2014</c:v>
                </c:pt>
                <c:pt idx="5">
                  <c:v>RTF Contract Staff 
2014</c:v>
                </c:pt>
              </c:strCache>
            </c:strRef>
          </c:cat>
          <c:val>
            <c:numRef>
              <c:f>('Category (2014)'!$V$12:$W$12,'Category (2014)'!$Z$12:$AA$12,'Category (2014)'!$AD$12:$AE$12)</c:f>
              <c:numCache>
                <c:formatCode>"$"#,##0_);\("$"#,##0\)</c:formatCode>
                <c:ptCount val="6"/>
                <c:pt idx="0">
                  <c:v>175778.00000000003</c:v>
                </c:pt>
                <c:pt idx="1">
                  <c:v>98200.000000000015</c:v>
                </c:pt>
                <c:pt idx="2">
                  <c:v>173814.00000000003</c:v>
                </c:pt>
                <c:pt idx="3">
                  <c:v>208184.00000000003</c:v>
                </c:pt>
                <c:pt idx="4">
                  <c:v>174000</c:v>
                </c:pt>
                <c:pt idx="5">
                  <c:v>236000</c:v>
                </c:pt>
              </c:numCache>
            </c:numRef>
          </c:val>
        </c:ser>
        <c:gapWidth val="55"/>
        <c:overlap val="100"/>
        <c:axId val="138303360"/>
        <c:axId val="138304896"/>
      </c:barChart>
      <c:catAx>
        <c:axId val="138303360"/>
        <c:scaling>
          <c:orientation val="minMax"/>
        </c:scaling>
        <c:axPos val="b"/>
        <c:majorTickMark val="none"/>
        <c:tickLblPos val="nextTo"/>
        <c:crossAx val="138304896"/>
        <c:crosses val="autoZero"/>
        <c:auto val="1"/>
        <c:lblAlgn val="ctr"/>
        <c:lblOffset val="100"/>
      </c:catAx>
      <c:valAx>
        <c:axId val="138304896"/>
        <c:scaling>
          <c:orientation val="minMax"/>
        </c:scaling>
        <c:axPos val="l"/>
        <c:majorGridlines/>
        <c:numFmt formatCode="&quot;$&quot;#,##0_);\(&quot;$&quot;#,##0\)" sourceLinked="1"/>
        <c:majorTickMark val="none"/>
        <c:tickLblPos val="nextTo"/>
        <c:crossAx val="138303360"/>
        <c:crosses val="autoZero"/>
        <c:crossBetween val="between"/>
      </c:valAx>
    </c:plotArea>
    <c:legend>
      <c:legendPos val="r"/>
    </c:legend>
    <c:plotVisOnly val="1"/>
  </c:chart>
  <c:txPr>
    <a:bodyPr/>
    <a:lstStyle/>
    <a:p>
      <a:pPr>
        <a:defRPr sz="1200"/>
      </a:pPr>
      <a:endParaRPr lang="en-US"/>
    </a:p>
  </c:txPr>
  <c:printSettings>
    <c:headerFooter/>
    <c:pageMargins b="0.75000000000000455" l="0.70000000000000062" r="0.70000000000000062" t="0.750000000000004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Contract Staff vs. Contract RFP: Overall</a:t>
            </a:r>
          </a:p>
        </c:rich>
      </c:tx>
    </c:title>
    <c:plotArea>
      <c:layout/>
      <c:barChart>
        <c:barDir val="col"/>
        <c:grouping val="stacked"/>
        <c:ser>
          <c:idx val="0"/>
          <c:order val="0"/>
          <c:tx>
            <c:strRef>
              <c:f>'Category (2014)'!$AI$6</c:f>
              <c:strCache>
                <c:ptCount val="1"/>
                <c:pt idx="0">
                  <c:v>Contract RFP</c:v>
                </c:pt>
              </c:strCache>
            </c:strRef>
          </c:tx>
          <c:cat>
            <c:numRef>
              <c:f>'Category (2014)'!$AJ$5:$AL$5</c:f>
              <c:numCache>
                <c:formatCode>General</c:formatCode>
                <c:ptCount val="3"/>
                <c:pt idx="0">
                  <c:v>2012</c:v>
                </c:pt>
                <c:pt idx="1">
                  <c:v>2013</c:v>
                </c:pt>
                <c:pt idx="2">
                  <c:v>2014</c:v>
                </c:pt>
              </c:numCache>
            </c:numRef>
          </c:cat>
          <c:val>
            <c:numRef>
              <c:f>'Category (2014)'!$AJ$6:$AL$6</c:f>
              <c:numCache>
                <c:formatCode>"$"#,##0_);\("$"#,##0\)</c:formatCode>
                <c:ptCount val="3"/>
                <c:pt idx="0">
                  <c:v>1060560</c:v>
                </c:pt>
                <c:pt idx="1">
                  <c:v>626025.00000000012</c:v>
                </c:pt>
                <c:pt idx="2">
                  <c:v>482000</c:v>
                </c:pt>
              </c:numCache>
            </c:numRef>
          </c:val>
        </c:ser>
        <c:ser>
          <c:idx val="1"/>
          <c:order val="1"/>
          <c:tx>
            <c:strRef>
              <c:f>'Category (2014)'!$AI$7</c:f>
              <c:strCache>
                <c:ptCount val="1"/>
                <c:pt idx="0">
                  <c:v>Contract Staff</c:v>
                </c:pt>
              </c:strCache>
            </c:strRef>
          </c:tx>
          <c:spPr>
            <a:solidFill>
              <a:schemeClr val="accent1">
                <a:lumMod val="40000"/>
                <a:lumOff val="60000"/>
              </a:schemeClr>
            </a:solidFill>
          </c:spPr>
          <c:cat>
            <c:numRef>
              <c:f>'Category (2014)'!$AJ$5:$AL$5</c:f>
              <c:numCache>
                <c:formatCode>General</c:formatCode>
                <c:ptCount val="3"/>
                <c:pt idx="0">
                  <c:v>2012</c:v>
                </c:pt>
                <c:pt idx="1">
                  <c:v>2013</c:v>
                </c:pt>
                <c:pt idx="2">
                  <c:v>2014</c:v>
                </c:pt>
              </c:numCache>
            </c:numRef>
          </c:cat>
          <c:val>
            <c:numRef>
              <c:f>'Category (2014)'!$AJ$7:$AL$7</c:f>
              <c:numCache>
                <c:formatCode>"$"#,##0_);\("$"#,##0\)</c:formatCode>
                <c:ptCount val="3"/>
                <c:pt idx="0">
                  <c:v>412440.00000000006</c:v>
                </c:pt>
                <c:pt idx="1">
                  <c:v>846975.00000000012</c:v>
                </c:pt>
                <c:pt idx="2">
                  <c:v>991000</c:v>
                </c:pt>
              </c:numCache>
            </c:numRef>
          </c:val>
        </c:ser>
        <c:overlap val="100"/>
        <c:axId val="138334208"/>
        <c:axId val="138335744"/>
      </c:barChart>
      <c:catAx>
        <c:axId val="138334208"/>
        <c:scaling>
          <c:orientation val="minMax"/>
        </c:scaling>
        <c:axPos val="b"/>
        <c:numFmt formatCode="General" sourceLinked="1"/>
        <c:tickLblPos val="nextTo"/>
        <c:crossAx val="138335744"/>
        <c:crosses val="autoZero"/>
        <c:auto val="1"/>
        <c:lblAlgn val="ctr"/>
        <c:lblOffset val="100"/>
      </c:catAx>
      <c:valAx>
        <c:axId val="138335744"/>
        <c:scaling>
          <c:orientation val="minMax"/>
        </c:scaling>
        <c:axPos val="l"/>
        <c:majorGridlines/>
        <c:numFmt formatCode="&quot;$&quot;#,##0_);\(&quot;$&quot;#,##0\)" sourceLinked="1"/>
        <c:tickLblPos val="nextTo"/>
        <c:crossAx val="138334208"/>
        <c:crosses val="autoZero"/>
        <c:crossBetween val="between"/>
      </c:valAx>
    </c:plotArea>
    <c:legend>
      <c:legendPos val="r"/>
    </c:legend>
    <c:plotVisOnly val="1"/>
  </c:chart>
  <c:txPr>
    <a:bodyPr/>
    <a:lstStyle/>
    <a:p>
      <a:pPr>
        <a:defRPr sz="1400"/>
      </a:pPr>
      <a:endParaRPr lang="en-US"/>
    </a:p>
  </c:txPr>
  <c:printSettings>
    <c:headerFooter/>
    <c:pageMargins b="0.75000000000000455" l="0.70000000000000062" r="0.70000000000000062" t="0.750000000000004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26"/>
  <c:chart>
    <c:title>
      <c:layout/>
      <c:txPr>
        <a:bodyPr/>
        <a:lstStyle/>
        <a:p>
          <a:pPr>
            <a:defRPr sz="1600"/>
          </a:pPr>
          <a:endParaRPr lang="en-US"/>
        </a:p>
      </c:txPr>
    </c:title>
    <c:plotArea>
      <c:layout/>
      <c:pieChart>
        <c:varyColors val="1"/>
        <c:ser>
          <c:idx val="0"/>
          <c:order val="0"/>
          <c:tx>
            <c:v>2013 Breakdown</c:v>
          </c:tx>
          <c:dLbls>
            <c:showVal val="1"/>
            <c:showLeaderLines val="1"/>
          </c:dLbls>
          <c:cat>
            <c:strRef>
              <c:f>(#REF!,#REF!,#REF!)</c:f>
              <c:strCache>
                <c:ptCount val="3"/>
                <c:pt idx="0">
                  <c:v>Technical Analysis</c:v>
                </c:pt>
                <c:pt idx="1">
                  <c:v>Tool Development, Research, Regional Coordination </c:v>
                </c:pt>
                <c:pt idx="2">
                  <c:v>Administration</c:v>
                </c:pt>
              </c:strCache>
            </c:strRef>
          </c:cat>
          <c:val>
            <c:numRef>
              <c:f>('Category (2014)'!$AC$6,'Category (2014)'!$AC$9,'Category (2014)'!$AC$12)</c:f>
              <c:numCache>
                <c:formatCode>0%</c:formatCode>
                <c:ptCount val="3"/>
                <c:pt idx="0">
                  <c:v>0.51806666666666668</c:v>
                </c:pt>
                <c:pt idx="1">
                  <c:v>0.22260000000000002</c:v>
                </c:pt>
                <c:pt idx="2">
                  <c:v>0.25933333333333336</c:v>
                </c:pt>
              </c:numCache>
            </c:numRef>
          </c:val>
        </c:ser>
        <c:firstSliceAng val="0"/>
      </c:pieChart>
    </c:plotArea>
    <c:plotVisOnly val="1"/>
  </c:chart>
  <c:txPr>
    <a:bodyPr/>
    <a:lstStyle/>
    <a:p>
      <a:pPr>
        <a:defRPr sz="1200"/>
      </a:pPr>
      <a:endParaRPr lang="en-US"/>
    </a:p>
  </c:txPr>
  <c:printSettings>
    <c:headerFooter/>
    <c:pageMargins b="0.75000000000000233" l="0.70000000000000062" r="0.70000000000000062" t="0.750000000000002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26"/>
  <c:chart>
    <c:title>
      <c:layout/>
      <c:txPr>
        <a:bodyPr/>
        <a:lstStyle/>
        <a:p>
          <a:pPr>
            <a:defRPr sz="1600"/>
          </a:pPr>
          <a:endParaRPr lang="en-US"/>
        </a:p>
      </c:txPr>
    </c:title>
    <c:plotArea>
      <c:layout/>
      <c:pieChart>
        <c:varyColors val="1"/>
        <c:ser>
          <c:idx val="0"/>
          <c:order val="0"/>
          <c:tx>
            <c:v>2014 Breakdown</c:v>
          </c:tx>
          <c:dLbls>
            <c:showVal val="1"/>
            <c:showLeaderLines val="1"/>
          </c:dLbls>
          <c:cat>
            <c:strRef>
              <c:f>(#REF!,#REF!,#REF!)</c:f>
              <c:strCache>
                <c:ptCount val="3"/>
                <c:pt idx="0">
                  <c:v>Technical Analysis</c:v>
                </c:pt>
                <c:pt idx="1">
                  <c:v>Tool Development, Research, Regional Coordination </c:v>
                </c:pt>
                <c:pt idx="2">
                  <c:v>Administration</c:v>
                </c:pt>
              </c:strCache>
            </c:strRef>
          </c:cat>
          <c:val>
            <c:numRef>
              <c:f>('Category (2014)'!$AG$6,'Category (2014)'!$AG$9,'Category (2014)'!$AG$12)</c:f>
              <c:numCache>
                <c:formatCode>0%</c:formatCode>
                <c:ptCount val="3"/>
                <c:pt idx="0">
                  <c:v>0.50203665987780044</c:v>
                </c:pt>
                <c:pt idx="1">
                  <c:v>0.21961982348947726</c:v>
                </c:pt>
                <c:pt idx="2">
                  <c:v>0.27834351663272233</c:v>
                </c:pt>
              </c:numCache>
            </c:numRef>
          </c:val>
        </c:ser>
        <c:firstSliceAng val="0"/>
      </c:pieChart>
    </c:plotArea>
    <c:legend>
      <c:legendPos val="b"/>
      <c:layout/>
    </c:legend>
    <c:plotVisOnly val="1"/>
  </c:chart>
  <c:txPr>
    <a:bodyPr/>
    <a:lstStyle/>
    <a:p>
      <a:pPr>
        <a:defRPr sz="1200"/>
      </a:pPr>
      <a:endParaRPr lang="en-US"/>
    </a:p>
  </c:txPr>
  <c:printSettings>
    <c:headerFooter/>
    <c:pageMargins b="0.75000000000000255" l="0.70000000000000062" r="0.70000000000000062" t="0.75000000000000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budgets - Contract Staff Allocation</a:t>
            </a:r>
          </a:p>
        </c:rich>
      </c:tx>
      <c:layout/>
      <c:overlay val="1"/>
    </c:title>
    <c:plotArea>
      <c:layout/>
      <c:barChart>
        <c:barDir val="col"/>
        <c:grouping val="stacked"/>
        <c:ser>
          <c:idx val="8"/>
          <c:order val="0"/>
          <c:tx>
            <c:strRef>
              <c:f>'Category (2014)'!$B$14</c:f>
              <c:strCache>
                <c:ptCount val="1"/>
                <c:pt idx="0">
                  <c:v>RTF Management</c:v>
                </c:pt>
              </c:strCache>
            </c:strRef>
          </c:tx>
          <c:cat>
            <c:strRef>
              <c:f>('Category (2014)'!$P$5,'Category (2014)'!$J$5,'Category (2014)'!$D$5)</c:f>
              <c:strCache>
                <c:ptCount val="3"/>
                <c:pt idx="0">
                  <c:v>RTF Contract Staff 
2012</c:v>
                </c:pt>
                <c:pt idx="1">
                  <c:v>RTF Contract Staff 
2013</c:v>
                </c:pt>
                <c:pt idx="2">
                  <c:v>RTF Contract Staff 
2014</c:v>
                </c:pt>
              </c:strCache>
            </c:strRef>
          </c:cat>
          <c:val>
            <c:numRef>
              <c:f>('Category (2014)'!$P$14,'Category (2014)'!$J$14,'Category (2014)'!$D$14)</c:f>
              <c:numCache>
                <c:formatCode>"$"#,##0_);\("$"#,##0\)</c:formatCode>
                <c:ptCount val="3"/>
                <c:pt idx="0">
                  <c:v>98200.000000000015</c:v>
                </c:pt>
                <c:pt idx="1">
                  <c:v>208184.00000000003</c:v>
                </c:pt>
                <c:pt idx="2">
                  <c:v>196000</c:v>
                </c:pt>
              </c:numCache>
            </c:numRef>
          </c:val>
        </c:ser>
        <c:ser>
          <c:idx val="7"/>
          <c:order val="1"/>
          <c:tx>
            <c:strRef>
              <c:f>'Category (2014)'!$B$13</c:f>
              <c:strCache>
                <c:ptCount val="1"/>
                <c:pt idx="0">
                  <c:v>RTF Member Support &amp; Administration</c:v>
                </c:pt>
              </c:strCache>
            </c:strRef>
          </c:tx>
          <c:cat>
            <c:strRef>
              <c:f>('Category (2014)'!$P$5,'Category (2014)'!$J$5,'Category (2014)'!$D$5)</c:f>
              <c:strCache>
                <c:ptCount val="3"/>
                <c:pt idx="0">
                  <c:v>RTF Contract Staff 
2012</c:v>
                </c:pt>
                <c:pt idx="1">
                  <c:v>RTF Contract Staff 
2013</c:v>
                </c:pt>
                <c:pt idx="2">
                  <c:v>RTF Contract Staff 
2014</c:v>
                </c:pt>
              </c:strCache>
            </c:strRef>
          </c:cat>
          <c:val>
            <c:numRef>
              <c:f>('Category (2014)'!$P$13,'Category (2014)'!$J$13,'Category (2014)'!$D$13)</c:f>
              <c:numCache>
                <c:formatCode>"$"#,##0_);\("$"#,##0\)</c:formatCode>
                <c:ptCount val="3"/>
                <c:pt idx="0">
                  <c:v>0</c:v>
                </c:pt>
                <c:pt idx="1">
                  <c:v>0</c:v>
                </c:pt>
                <c:pt idx="2">
                  <c:v>0</c:v>
                </c:pt>
              </c:numCache>
            </c:numRef>
          </c:val>
        </c:ser>
        <c:ser>
          <c:idx val="6"/>
          <c:order val="2"/>
          <c:tx>
            <c:strRef>
              <c:f>'Category (2014)'!$B$12</c:f>
              <c:strCache>
                <c:ptCount val="1"/>
                <c:pt idx="0">
                  <c:v>Website, Database support, Conservation Tracking </c:v>
                </c:pt>
              </c:strCache>
            </c:strRef>
          </c:tx>
          <c:cat>
            <c:strRef>
              <c:f>('Category (2014)'!$P$5,'Category (2014)'!$J$5,'Category (2014)'!$D$5)</c:f>
              <c:strCache>
                <c:ptCount val="3"/>
                <c:pt idx="0">
                  <c:v>RTF Contract Staff 
2012</c:v>
                </c:pt>
                <c:pt idx="1">
                  <c:v>RTF Contract Staff 
2013</c:v>
                </c:pt>
                <c:pt idx="2">
                  <c:v>RTF Contract Staff 
2014</c:v>
                </c:pt>
              </c:strCache>
            </c:strRef>
          </c:cat>
          <c:val>
            <c:numRef>
              <c:f>('Category (2014)'!$P$12,'Category (2014)'!$J$12,'Category (2014)'!$D$12)</c:f>
              <c:numCache>
                <c:formatCode>"$"#,##0_);\("$"#,##0\)</c:formatCode>
                <c:ptCount val="3"/>
                <c:pt idx="0">
                  <c:v>0</c:v>
                </c:pt>
                <c:pt idx="1">
                  <c:v>0</c:v>
                </c:pt>
                <c:pt idx="2">
                  <c:v>40000</c:v>
                </c:pt>
              </c:numCache>
            </c:numRef>
          </c:val>
        </c:ser>
        <c:ser>
          <c:idx val="5"/>
          <c:order val="3"/>
          <c:tx>
            <c:strRef>
              <c:f>'Category (2014)'!$B$11</c:f>
              <c:strCache>
                <c:ptCount val="1"/>
                <c:pt idx="0">
                  <c:v>Regional Coordination</c:v>
                </c:pt>
              </c:strCache>
            </c:strRef>
          </c:tx>
          <c:cat>
            <c:strRef>
              <c:f>('Category (2014)'!$P$5,'Category (2014)'!$J$5,'Category (2014)'!$D$5)</c:f>
              <c:strCache>
                <c:ptCount val="3"/>
                <c:pt idx="0">
                  <c:v>RTF Contract Staff 
2012</c:v>
                </c:pt>
                <c:pt idx="1">
                  <c:v>RTF Contract Staff 
2013</c:v>
                </c:pt>
                <c:pt idx="2">
                  <c:v>RTF Contract Staff 
2014</c:v>
                </c:pt>
              </c:strCache>
            </c:strRef>
          </c:cat>
          <c:val>
            <c:numRef>
              <c:f>('Category (2014)'!$P$11,'Category (2014)'!$J$11,'Category (2014)'!$D$11)</c:f>
              <c:numCache>
                <c:formatCode>"$"#,##0_);\("$"#,##0\)</c:formatCode>
                <c:ptCount val="3"/>
                <c:pt idx="0">
                  <c:v>56956.000000000007</c:v>
                </c:pt>
                <c:pt idx="1">
                  <c:v>65794</c:v>
                </c:pt>
                <c:pt idx="2">
                  <c:v>6000</c:v>
                </c:pt>
              </c:numCache>
            </c:numRef>
          </c:val>
        </c:ser>
        <c:ser>
          <c:idx val="4"/>
          <c:order val="4"/>
          <c:tx>
            <c:strRef>
              <c:f>'Category (2014)'!$B$10</c:f>
              <c:strCache>
                <c:ptCount val="1"/>
                <c:pt idx="0">
                  <c:v>Research Projects &amp; Data Development</c:v>
                </c:pt>
              </c:strCache>
            </c:strRef>
          </c:tx>
          <c:cat>
            <c:strRef>
              <c:f>('Category (2014)'!$P$5,'Category (2014)'!$J$5,'Category (2014)'!$D$5)</c:f>
              <c:strCache>
                <c:ptCount val="3"/>
                <c:pt idx="0">
                  <c:v>RTF Contract Staff 
2012</c:v>
                </c:pt>
                <c:pt idx="1">
                  <c:v>RTF Contract Staff 
2013</c:v>
                </c:pt>
                <c:pt idx="2">
                  <c:v>RTF Contract Staff 
2014</c:v>
                </c:pt>
              </c:strCache>
            </c:strRef>
          </c:cat>
          <c:val>
            <c:numRef>
              <c:f>('Category (2014)'!$P$10,'Category (2014)'!$J$10,'Category (2014)'!$D$10)</c:f>
              <c:numCache>
                <c:formatCode>"$"#,##0_);\("$"#,##0\)</c:formatCode>
                <c:ptCount val="3"/>
                <c:pt idx="0">
                  <c:v>47136.000000000007</c:v>
                </c:pt>
                <c:pt idx="1">
                  <c:v>24451.800000000003</c:v>
                </c:pt>
                <c:pt idx="2">
                  <c:v>60000</c:v>
                </c:pt>
              </c:numCache>
            </c:numRef>
          </c:val>
        </c:ser>
        <c:ser>
          <c:idx val="3"/>
          <c:order val="5"/>
          <c:tx>
            <c:strRef>
              <c:f>'Category (2014)'!$B$9</c:f>
              <c:strCache>
                <c:ptCount val="1"/>
                <c:pt idx="0">
                  <c:v>Tool Development</c:v>
                </c:pt>
              </c:strCache>
            </c:strRef>
          </c:tx>
          <c:cat>
            <c:strRef>
              <c:f>('Category (2014)'!$P$5,'Category (2014)'!$J$5,'Category (2014)'!$D$5)</c:f>
              <c:strCache>
                <c:ptCount val="3"/>
                <c:pt idx="0">
                  <c:v>RTF Contract Staff 
2012</c:v>
                </c:pt>
                <c:pt idx="1">
                  <c:v>RTF Contract Staff 
2013</c:v>
                </c:pt>
                <c:pt idx="2">
                  <c:v>RTF Contract Staff 
2014</c:v>
                </c:pt>
              </c:strCache>
            </c:strRef>
          </c:cat>
          <c:val>
            <c:numRef>
              <c:f>('Category (2014)'!$P$9,'Category (2014)'!$J$9,'Category (2014)'!$D$9)</c:f>
              <c:numCache>
                <c:formatCode>"$"#,##0_);\("$"#,##0\)</c:formatCode>
                <c:ptCount val="3"/>
                <c:pt idx="0">
                  <c:v>47136.000000000007</c:v>
                </c:pt>
                <c:pt idx="1">
                  <c:v>37316</c:v>
                </c:pt>
                <c:pt idx="2">
                  <c:v>120000</c:v>
                </c:pt>
              </c:numCache>
            </c:numRef>
          </c:val>
        </c:ser>
        <c:ser>
          <c:idx val="2"/>
          <c:order val="6"/>
          <c:tx>
            <c:strRef>
              <c:f>'Category (2014)'!$B$8</c:f>
              <c:strCache>
                <c:ptCount val="1"/>
                <c:pt idx="0">
                  <c:v>Standardization of Technical Analysis</c:v>
                </c:pt>
              </c:strCache>
            </c:strRef>
          </c:tx>
          <c:cat>
            <c:strRef>
              <c:f>('Category (2014)'!$P$5,'Category (2014)'!$J$5,'Category (2014)'!$D$5)</c:f>
              <c:strCache>
                <c:ptCount val="3"/>
                <c:pt idx="0">
                  <c:v>RTF Contract Staff 
2012</c:v>
                </c:pt>
                <c:pt idx="1">
                  <c:v>RTF Contract Staff 
2013</c:v>
                </c:pt>
                <c:pt idx="2">
                  <c:v>RTF Contract Staff 
2014</c:v>
                </c:pt>
              </c:strCache>
            </c:strRef>
          </c:cat>
          <c:val>
            <c:numRef>
              <c:f>('Category (2014)'!$P$8,'Category (2014)'!$J$8,'Category (2014)'!$D$8)</c:f>
              <c:numCache>
                <c:formatCode>"$"#,##0_);\("$"#,##0\)</c:formatCode>
                <c:ptCount val="3"/>
                <c:pt idx="0">
                  <c:v>41244.000000000007</c:v>
                </c:pt>
                <c:pt idx="1">
                  <c:v>22095.000000000004</c:v>
                </c:pt>
                <c:pt idx="2">
                  <c:v>19000</c:v>
                </c:pt>
              </c:numCache>
            </c:numRef>
          </c:val>
        </c:ser>
        <c:ser>
          <c:idx val="1"/>
          <c:order val="7"/>
          <c:tx>
            <c:strRef>
              <c:f>'Category (2014)'!$B$7</c:f>
              <c:strCache>
                <c:ptCount val="1"/>
                <c:pt idx="0">
                  <c:v>New Measure Development &amp; Review of Unsolicited Proposals</c:v>
                </c:pt>
              </c:strCache>
            </c:strRef>
          </c:tx>
          <c:cat>
            <c:strRef>
              <c:f>('Category (2014)'!$P$5,'Category (2014)'!$J$5,'Category (2014)'!$D$5)</c:f>
              <c:strCache>
                <c:ptCount val="3"/>
                <c:pt idx="0">
                  <c:v>RTF Contract Staff 
2012</c:v>
                </c:pt>
                <c:pt idx="1">
                  <c:v>RTF Contract Staff 
2013</c:v>
                </c:pt>
                <c:pt idx="2">
                  <c:v>RTF Contract Staff 
2014</c:v>
                </c:pt>
              </c:strCache>
            </c:strRef>
          </c:cat>
          <c:val>
            <c:numRef>
              <c:f>('Category (2014)'!$P$7,'Category (2014)'!$J$7,'Category (2014)'!$D$7)</c:f>
              <c:numCache>
                <c:formatCode>"$"#,##0_);\("$"#,##0\)</c:formatCode>
                <c:ptCount val="3"/>
                <c:pt idx="0">
                  <c:v>36334</c:v>
                </c:pt>
                <c:pt idx="1">
                  <c:v>67758</c:v>
                </c:pt>
                <c:pt idx="2">
                  <c:v>140000</c:v>
                </c:pt>
              </c:numCache>
            </c:numRef>
          </c:val>
        </c:ser>
        <c:ser>
          <c:idx val="0"/>
          <c:order val="8"/>
          <c:tx>
            <c:strRef>
              <c:f>'Category (2014)'!$B$6</c:f>
              <c:strCache>
                <c:ptCount val="1"/>
                <c:pt idx="0">
                  <c:v>Existing Measure Review &amp; Updates</c:v>
                </c:pt>
              </c:strCache>
            </c:strRef>
          </c:tx>
          <c:cat>
            <c:strRef>
              <c:f>('Category (2014)'!$P$5,'Category (2014)'!$J$5,'Category (2014)'!$D$5)</c:f>
              <c:strCache>
                <c:ptCount val="3"/>
                <c:pt idx="0">
                  <c:v>RTF Contract Staff 
2012</c:v>
                </c:pt>
                <c:pt idx="1">
                  <c:v>RTF Contract Staff 
2013</c:v>
                </c:pt>
                <c:pt idx="2">
                  <c:v>RTF Contract Staff 
2014</c:v>
                </c:pt>
              </c:strCache>
            </c:strRef>
          </c:cat>
          <c:val>
            <c:numRef>
              <c:f>('Category (2014)'!$P$6,'Category (2014)'!$J$6,'Category (2014)'!$D$6)</c:f>
              <c:numCache>
                <c:formatCode>"$"#,##0_);\("$"#,##0\)</c:formatCode>
                <c:ptCount val="3"/>
                <c:pt idx="0">
                  <c:v>85434.000000000015</c:v>
                </c:pt>
                <c:pt idx="1">
                  <c:v>421376.20000000007</c:v>
                </c:pt>
                <c:pt idx="2">
                  <c:v>410000</c:v>
                </c:pt>
              </c:numCache>
            </c:numRef>
          </c:val>
        </c:ser>
        <c:overlap val="100"/>
        <c:axId val="138596352"/>
        <c:axId val="138597888"/>
      </c:barChart>
      <c:catAx>
        <c:axId val="138596352"/>
        <c:scaling>
          <c:orientation val="minMax"/>
        </c:scaling>
        <c:axPos val="b"/>
        <c:tickLblPos val="nextTo"/>
        <c:txPr>
          <a:bodyPr/>
          <a:lstStyle/>
          <a:p>
            <a:pPr>
              <a:defRPr sz="1800" b="1"/>
            </a:pPr>
            <a:endParaRPr lang="en-US"/>
          </a:p>
        </c:txPr>
        <c:crossAx val="138597888"/>
        <c:crosses val="autoZero"/>
        <c:auto val="1"/>
        <c:lblAlgn val="ctr"/>
        <c:lblOffset val="100"/>
      </c:catAx>
      <c:valAx>
        <c:axId val="138597888"/>
        <c:scaling>
          <c:orientation val="minMax"/>
        </c:scaling>
        <c:axPos val="l"/>
        <c:numFmt formatCode="&quot;$&quot;#,##0_);\(&quot;$&quot;#,##0\)" sourceLinked="1"/>
        <c:tickLblPos val="nextTo"/>
        <c:txPr>
          <a:bodyPr/>
          <a:lstStyle/>
          <a:p>
            <a:pPr>
              <a:defRPr sz="1200"/>
            </a:pPr>
            <a:endParaRPr lang="en-US"/>
          </a:p>
        </c:txPr>
        <c:crossAx val="138596352"/>
        <c:crosses val="autoZero"/>
        <c:crossBetween val="between"/>
      </c:valAx>
    </c:plotArea>
    <c:legend>
      <c:legendPos val="r"/>
      <c:layout/>
      <c:txPr>
        <a:bodyPr/>
        <a:lstStyle/>
        <a:p>
          <a:pPr>
            <a:defRPr sz="1400"/>
          </a:pPr>
          <a:endParaRPr lang="en-US"/>
        </a:p>
      </c:txPr>
    </c:legend>
    <c:plotVisOnly val="1"/>
  </c:chart>
  <c:printSettings>
    <c:headerFooter/>
    <c:pageMargins b="0.75000000000000711" l="0.70000000000000062" r="0.70000000000000062" t="0.750000000000007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sz="1600"/>
            </a:pPr>
            <a:r>
              <a:rPr lang="en-US"/>
              <a:t>2012 Breakdown</a:t>
            </a:r>
          </a:p>
        </c:rich>
      </c:tx>
      <c:layout/>
    </c:title>
    <c:plotArea>
      <c:layout/>
      <c:pieChart>
        <c:varyColors val="1"/>
        <c:ser>
          <c:idx val="0"/>
          <c:order val="0"/>
          <c:tx>
            <c:v>2012 Breakdown</c:v>
          </c:tx>
          <c:dLbls>
            <c:showVal val="1"/>
            <c:showLeaderLines val="1"/>
          </c:dLbls>
          <c:cat>
            <c:strRef>
              <c:f>(#REF!,#REF!,#REF!)</c:f>
              <c:strCache>
                <c:ptCount val="3"/>
                <c:pt idx="0">
                  <c:v>Technical Analysis</c:v>
                </c:pt>
                <c:pt idx="1">
                  <c:v>Tool Development, Research, Regional Coordination </c:v>
                </c:pt>
                <c:pt idx="2">
                  <c:v>Administration</c:v>
                </c:pt>
              </c:strCache>
            </c:strRef>
          </c:cat>
          <c:val>
            <c:numRef>
              <c:f>('Category (2014)'!$Y$6,'Category (2014)'!$Y$9,'Category (2014)'!$Y$12)</c:f>
              <c:numCache>
                <c:formatCode>0%</c:formatCode>
                <c:ptCount val="3"/>
                <c:pt idx="0">
                  <c:v>0.53400000000000003</c:v>
                </c:pt>
                <c:pt idx="1">
                  <c:v>0.28000000000000003</c:v>
                </c:pt>
                <c:pt idx="2">
                  <c:v>0.18600000000000003</c:v>
                </c:pt>
              </c:numCache>
            </c:numRef>
          </c:val>
        </c:ser>
        <c:firstSliceAng val="0"/>
      </c:pieChart>
    </c:plotArea>
    <c:plotVisOnly val="1"/>
  </c:chart>
  <c:txPr>
    <a:bodyPr/>
    <a:lstStyle/>
    <a:p>
      <a:pPr>
        <a:defRPr sz="1200"/>
      </a:pPr>
      <a:endParaRPr lang="en-US"/>
    </a:p>
  </c:txPr>
  <c:printSettings>
    <c:headerFooter/>
    <c:pageMargins b="0.75000000000000255" l="0.70000000000000062" r="0.70000000000000062" t="0.75000000000000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 Allocation</a:t>
            </a:r>
          </a:p>
        </c:rich>
      </c:tx>
      <c:layout/>
      <c:overlay val="1"/>
    </c:title>
    <c:plotArea>
      <c:layout/>
      <c:barChart>
        <c:barDir val="col"/>
        <c:grouping val="stacked"/>
        <c:ser>
          <c:idx val="1"/>
          <c:order val="0"/>
          <c:tx>
            <c:strRef>
              <c:f>'Category (2014)'!$N$123</c:f>
              <c:strCache>
                <c:ptCount val="1"/>
                <c:pt idx="0">
                  <c:v>Contract RFP</c:v>
                </c:pt>
              </c:strCache>
            </c:strRef>
          </c:tx>
          <c:cat>
            <c:numRef>
              <c:f>'Category (2014)'!$O$122:$Q$122</c:f>
              <c:numCache>
                <c:formatCode>General</c:formatCode>
                <c:ptCount val="3"/>
                <c:pt idx="0">
                  <c:v>2012</c:v>
                </c:pt>
                <c:pt idx="1">
                  <c:v>2013</c:v>
                </c:pt>
                <c:pt idx="2">
                  <c:v>2014</c:v>
                </c:pt>
              </c:numCache>
            </c:numRef>
          </c:cat>
          <c:val>
            <c:numRef>
              <c:f>'Category (2014)'!$O$123:$Q$123</c:f>
              <c:numCache>
                <c:formatCode>"$"#,##0_);\("$"#,##0\)</c:formatCode>
                <c:ptCount val="3"/>
                <c:pt idx="0">
                  <c:v>1060560</c:v>
                </c:pt>
                <c:pt idx="1">
                  <c:v>626025.00000000012</c:v>
                </c:pt>
                <c:pt idx="2">
                  <c:v>482000</c:v>
                </c:pt>
              </c:numCache>
            </c:numRef>
          </c:val>
        </c:ser>
        <c:ser>
          <c:idx val="0"/>
          <c:order val="1"/>
          <c:tx>
            <c:strRef>
              <c:f>'Category (2014)'!$N$125</c:f>
              <c:strCache>
                <c:ptCount val="1"/>
                <c:pt idx="0">
                  <c:v>Contract Staff</c:v>
                </c:pt>
              </c:strCache>
            </c:strRef>
          </c:tx>
          <c:cat>
            <c:numRef>
              <c:f>'Category (2014)'!$O$122:$Q$122</c:f>
              <c:numCache>
                <c:formatCode>General</c:formatCode>
                <c:ptCount val="3"/>
                <c:pt idx="0">
                  <c:v>2012</c:v>
                </c:pt>
                <c:pt idx="1">
                  <c:v>2013</c:v>
                </c:pt>
                <c:pt idx="2">
                  <c:v>2014</c:v>
                </c:pt>
              </c:numCache>
            </c:numRef>
          </c:cat>
          <c:val>
            <c:numRef>
              <c:f>'Category (2014)'!$O$125:$Q$125</c:f>
              <c:numCache>
                <c:formatCode>"$"#,##0_);\("$"#,##0\)</c:formatCode>
                <c:ptCount val="3"/>
                <c:pt idx="0">
                  <c:v>412440.00000000006</c:v>
                </c:pt>
                <c:pt idx="1">
                  <c:v>846975.00000000012</c:v>
                </c:pt>
                <c:pt idx="2">
                  <c:v>991000</c:v>
                </c:pt>
              </c:numCache>
            </c:numRef>
          </c:val>
        </c:ser>
        <c:overlap val="100"/>
        <c:axId val="154249088"/>
        <c:axId val="154268032"/>
      </c:barChart>
      <c:catAx>
        <c:axId val="154249088"/>
        <c:scaling>
          <c:orientation val="minMax"/>
        </c:scaling>
        <c:axPos val="b"/>
        <c:numFmt formatCode="General" sourceLinked="1"/>
        <c:tickLblPos val="nextTo"/>
        <c:txPr>
          <a:bodyPr/>
          <a:lstStyle/>
          <a:p>
            <a:pPr>
              <a:defRPr sz="1800" b="1"/>
            </a:pPr>
            <a:endParaRPr lang="en-US"/>
          </a:p>
        </c:txPr>
        <c:crossAx val="154268032"/>
        <c:crosses val="autoZero"/>
        <c:auto val="1"/>
        <c:lblAlgn val="ctr"/>
        <c:lblOffset val="100"/>
      </c:catAx>
      <c:valAx>
        <c:axId val="154268032"/>
        <c:scaling>
          <c:orientation val="minMax"/>
        </c:scaling>
        <c:axPos val="l"/>
        <c:numFmt formatCode="&quot;$&quot;#,##0_);\(&quot;$&quot;#,##0\)" sourceLinked="1"/>
        <c:tickLblPos val="nextTo"/>
        <c:txPr>
          <a:bodyPr/>
          <a:lstStyle/>
          <a:p>
            <a:pPr>
              <a:defRPr sz="1200"/>
            </a:pPr>
            <a:endParaRPr lang="en-US"/>
          </a:p>
        </c:txPr>
        <c:crossAx val="154249088"/>
        <c:crosses val="autoZero"/>
        <c:crossBetween val="between"/>
      </c:valAx>
    </c:plotArea>
    <c:legend>
      <c:legendPos val="r"/>
      <c:layout/>
      <c:txPr>
        <a:bodyPr/>
        <a:lstStyle/>
        <a:p>
          <a:pPr>
            <a:defRPr sz="1400"/>
          </a:pPr>
          <a:endParaRPr lang="en-US"/>
        </a:p>
      </c:txPr>
    </c:legend>
    <c:plotVisOnly val="1"/>
  </c:chart>
  <c:printSettings>
    <c:headerFooter/>
    <c:pageMargins b="0.75000000000000733" l="0.70000000000000062" r="0.70000000000000062" t="0.7500000000000073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593910</xdr:colOff>
      <xdr:row>16</xdr:row>
      <xdr:rowOff>38100</xdr:rowOff>
    </xdr:from>
    <xdr:to>
      <xdr:col>12</xdr:col>
      <xdr:colOff>526676</xdr:colOff>
      <xdr:row>49</xdr:row>
      <xdr:rowOff>33277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49</xdr:row>
      <xdr:rowOff>142874</xdr:rowOff>
    </xdr:from>
    <xdr:to>
      <xdr:col>12</xdr:col>
      <xdr:colOff>537882</xdr:colOff>
      <xdr:row>83</xdr:row>
      <xdr:rowOff>171449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40</xdr:col>
      <xdr:colOff>44823</xdr:colOff>
      <xdr:row>4</xdr:row>
      <xdr:rowOff>44825</xdr:rowOff>
    </xdr:from>
    <xdr:to>
      <xdr:col>55</xdr:col>
      <xdr:colOff>313765</xdr:colOff>
      <xdr:row>11</xdr:row>
      <xdr:rowOff>403413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33</xdr:col>
      <xdr:colOff>537882</xdr:colOff>
      <xdr:row>8</xdr:row>
      <xdr:rowOff>201705</xdr:rowOff>
    </xdr:from>
    <xdr:to>
      <xdr:col>39</xdr:col>
      <xdr:colOff>336176</xdr:colOff>
      <xdr:row>15</xdr:row>
      <xdr:rowOff>168088</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22413</xdr:colOff>
      <xdr:row>16</xdr:row>
      <xdr:rowOff>11207</xdr:rowOff>
    </xdr:from>
    <xdr:to>
      <xdr:col>26</xdr:col>
      <xdr:colOff>638736</xdr:colOff>
      <xdr:row>30</xdr:row>
      <xdr:rowOff>89648</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26</xdr:col>
      <xdr:colOff>885266</xdr:colOff>
      <xdr:row>16</xdr:row>
      <xdr:rowOff>1</xdr:rowOff>
    </xdr:from>
    <xdr:to>
      <xdr:col>32</xdr:col>
      <xdr:colOff>347383</xdr:colOff>
      <xdr:row>35</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85</xdr:row>
      <xdr:rowOff>0</xdr:rowOff>
    </xdr:from>
    <xdr:to>
      <xdr:col>13</xdr:col>
      <xdr:colOff>1682</xdr:colOff>
      <xdr:row>119</xdr:row>
      <xdr:rowOff>28575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33619</xdr:colOff>
      <xdr:row>16</xdr:row>
      <xdr:rowOff>0</xdr:rowOff>
    </xdr:from>
    <xdr:to>
      <xdr:col>22</xdr:col>
      <xdr:colOff>615763</xdr:colOff>
      <xdr:row>30</xdr:row>
      <xdr:rowOff>78441</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120</xdr:row>
      <xdr:rowOff>0</xdr:rowOff>
    </xdr:from>
    <xdr:to>
      <xdr:col>13</xdr:col>
      <xdr:colOff>1682</xdr:colOff>
      <xdr:row>154</xdr:row>
      <xdr:rowOff>28575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9524</xdr:colOff>
      <xdr:row>17</xdr:row>
      <xdr:rowOff>19050</xdr:rowOff>
    </xdr:from>
    <xdr:to>
      <xdr:col>14</xdr:col>
      <xdr:colOff>752475</xdr:colOff>
      <xdr:row>31</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723897</xdr:colOff>
      <xdr:row>33</xdr:row>
      <xdr:rowOff>66674</xdr:rowOff>
    </xdr:from>
    <xdr:to>
      <xdr:col>14</xdr:col>
      <xdr:colOff>762000</xdr:colOff>
      <xdr:row>50</xdr:row>
      <xdr:rowOff>95249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733424</xdr:colOff>
      <xdr:row>52</xdr:row>
      <xdr:rowOff>0</xdr:rowOff>
    </xdr:from>
    <xdr:to>
      <xdr:col>14</xdr:col>
      <xdr:colOff>771524</xdr:colOff>
      <xdr:row>69</xdr:row>
      <xdr:rowOff>28575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190499</xdr:colOff>
      <xdr:row>5</xdr:row>
      <xdr:rowOff>742950</xdr:rowOff>
    </xdr:from>
    <xdr:to>
      <xdr:col>1</xdr:col>
      <xdr:colOff>942974</xdr:colOff>
      <xdr:row>14</xdr:row>
      <xdr:rowOff>95250</xdr:rowOff>
    </xdr:to>
    <xdr:sp macro="" textlink="">
      <xdr:nvSpPr>
        <xdr:cNvPr id="3" name="Rounded Rectangular Callout 2" descr="5bb34e46-69ca-42c4-967c-2f067a52e970"/>
        <xdr:cNvSpPr/>
      </xdr:nvSpPr>
      <xdr:spPr>
        <a:xfrm>
          <a:off x="190499" y="1781175"/>
          <a:ext cx="2028825" cy="1771650"/>
        </a:xfrm>
        <a:prstGeom prst="wedgeRoundRectCallout">
          <a:avLst>
            <a:gd name="adj1" fmla="val 65009"/>
            <a:gd name="adj2" fmla="val -261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a:t>Revised from</a:t>
          </a:r>
          <a:r>
            <a:rPr lang="en-US" sz="1100" baseline="0"/>
            <a:t> 2012 to reflect less of  Tom, Charlie &amp; Gillian's management after addition of Nick O'Neil as RTF manager.  </a:t>
          </a:r>
        </a:p>
        <a:p>
          <a:pPr algn="l"/>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561975</xdr:colOff>
      <xdr:row>1</xdr:row>
      <xdr:rowOff>47625</xdr:rowOff>
    </xdr:from>
    <xdr:to>
      <xdr:col>19</xdr:col>
      <xdr:colOff>533400</xdr:colOff>
      <xdr:row>29</xdr:row>
      <xdr:rowOff>161924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dimension ref="B1:C11"/>
  <sheetViews>
    <sheetView tabSelected="1" workbookViewId="0">
      <selection activeCell="B2" sqref="B2"/>
    </sheetView>
  </sheetViews>
  <sheetFormatPr defaultRowHeight="15"/>
  <cols>
    <col min="2" max="2" width="27.85546875" customWidth="1"/>
    <col min="3" max="3" width="92" customWidth="1"/>
    <col min="4" max="4" width="9.7109375" bestFit="1" customWidth="1"/>
  </cols>
  <sheetData>
    <row r="1" spans="2:3" ht="18.75">
      <c r="B1" s="201" t="s">
        <v>117</v>
      </c>
    </row>
    <row r="2" spans="2:3">
      <c r="B2" s="1" t="s">
        <v>296</v>
      </c>
      <c r="C2" s="4"/>
    </row>
    <row r="4" spans="2:3" ht="15.75">
      <c r="B4" s="98" t="s">
        <v>114</v>
      </c>
      <c r="C4" s="98" t="s">
        <v>115</v>
      </c>
    </row>
    <row r="5" spans="2:3" ht="15.75">
      <c r="B5" s="99" t="s">
        <v>117</v>
      </c>
      <c r="C5" s="37"/>
    </row>
    <row r="6" spans="2:3" ht="78.75">
      <c r="B6" s="99" t="s">
        <v>202</v>
      </c>
      <c r="C6" s="100" t="s">
        <v>203</v>
      </c>
    </row>
    <row r="7" spans="2:3" ht="63">
      <c r="B7" s="99" t="s">
        <v>204</v>
      </c>
      <c r="C7" s="100" t="s">
        <v>205</v>
      </c>
    </row>
    <row r="8" spans="2:3" ht="31.5">
      <c r="B8" s="99" t="s">
        <v>206</v>
      </c>
      <c r="C8" s="100" t="s">
        <v>181</v>
      </c>
    </row>
    <row r="9" spans="2:3" ht="15.75">
      <c r="B9" s="99" t="s">
        <v>119</v>
      </c>
      <c r="C9" s="100" t="s">
        <v>121</v>
      </c>
    </row>
    <row r="10" spans="2:3" ht="31.5">
      <c r="B10" s="99" t="s">
        <v>120</v>
      </c>
      <c r="C10" s="100" t="s">
        <v>274</v>
      </c>
    </row>
    <row r="11" spans="2:3" ht="31.5">
      <c r="B11" s="99" t="s">
        <v>141</v>
      </c>
      <c r="C11" s="100"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BI125"/>
  <sheetViews>
    <sheetView topLeftCell="A102" zoomScale="70" zoomScaleNormal="70" workbookViewId="0">
      <selection activeCell="P116" sqref="P116"/>
    </sheetView>
  </sheetViews>
  <sheetFormatPr defaultColWidth="8.85546875" defaultRowHeight="15"/>
  <cols>
    <col min="2" max="2" width="52.7109375" customWidth="1"/>
    <col min="3" max="3" width="12.28515625" customWidth="1"/>
    <col min="4" max="4" width="13.85546875" bestFit="1" customWidth="1"/>
    <col min="5" max="5" width="15.28515625" bestFit="1" customWidth="1"/>
    <col min="6" max="6" width="15" customWidth="1"/>
    <col min="7" max="7" width="9.42578125" bestFit="1" customWidth="1"/>
    <col min="8" max="8" width="10.7109375" bestFit="1" customWidth="1"/>
    <col min="9" max="9" width="12.28515625" bestFit="1" customWidth="1"/>
    <col min="10" max="10" width="12.140625" bestFit="1" customWidth="1"/>
    <col min="11" max="11" width="15.28515625" bestFit="1" customWidth="1"/>
    <col min="12" max="12" width="14" customWidth="1"/>
    <col min="13" max="13" width="8.28515625" customWidth="1"/>
    <col min="14" max="14" width="6.42578125" bestFit="1" customWidth="1"/>
    <col min="15" max="15" width="12.5703125" bestFit="1" customWidth="1"/>
    <col min="16" max="16" width="12.140625" bestFit="1" customWidth="1"/>
    <col min="17" max="17" width="15.28515625" bestFit="1" customWidth="1"/>
    <col min="18" max="18" width="14" customWidth="1"/>
    <col min="19" max="19" width="8.42578125" customWidth="1"/>
    <col min="20" max="20" width="14" customWidth="1"/>
    <col min="21" max="21" width="16" customWidth="1"/>
    <col min="22" max="23" width="13.85546875" bestFit="1" customWidth="1"/>
    <col min="24" max="24" width="12.5703125" bestFit="1" customWidth="1"/>
    <col min="25" max="25" width="6.42578125" bestFit="1" customWidth="1"/>
    <col min="26" max="26" width="10.7109375" bestFit="1" customWidth="1"/>
    <col min="27" max="27" width="13.85546875" bestFit="1" customWidth="1"/>
    <col min="28" max="28" width="12.5703125" bestFit="1" customWidth="1"/>
    <col min="29" max="29" width="6.42578125" bestFit="1" customWidth="1"/>
    <col min="30" max="30" width="10.7109375" bestFit="1" customWidth="1"/>
    <col min="31" max="31" width="13.85546875" bestFit="1" customWidth="1"/>
    <col min="32" max="32" width="12.5703125" bestFit="1" customWidth="1"/>
    <col min="33" max="33" width="6.42578125" bestFit="1" customWidth="1"/>
    <col min="35" max="35" width="17.5703125" customWidth="1"/>
    <col min="36" max="36" width="14.42578125" customWidth="1"/>
    <col min="37" max="38" width="12.5703125" bestFit="1" customWidth="1"/>
    <col min="61" max="61" width="12.7109375" bestFit="1" customWidth="1"/>
    <col min="67" max="67" width="10.85546875" customWidth="1"/>
  </cols>
  <sheetData>
    <row r="1" spans="2:61" ht="18.75">
      <c r="B1" s="201" t="s">
        <v>290</v>
      </c>
    </row>
    <row r="2" spans="2:61">
      <c r="B2" s="1" t="str">
        <f>'Table of Contents'!B2</f>
        <v>Final - Adopted by RTF on October 15, Approved by Council on November 5.</v>
      </c>
    </row>
    <row r="3" spans="2:61">
      <c r="B3" s="2"/>
      <c r="I3" t="s">
        <v>286</v>
      </c>
      <c r="O3" t="s">
        <v>286</v>
      </c>
    </row>
    <row r="4" spans="2:61" ht="26.25" customHeight="1">
      <c r="B4" s="21"/>
      <c r="C4" s="285" t="s">
        <v>227</v>
      </c>
      <c r="D4" s="286"/>
      <c r="E4" s="286"/>
      <c r="F4" s="287"/>
      <c r="G4" s="21"/>
      <c r="H4" s="21"/>
      <c r="I4" s="285" t="s">
        <v>199</v>
      </c>
      <c r="J4" s="286"/>
      <c r="K4" s="286"/>
      <c r="L4" s="287"/>
      <c r="N4" s="13"/>
      <c r="O4" s="285" t="s">
        <v>282</v>
      </c>
      <c r="P4" s="286"/>
      <c r="Q4" s="286"/>
      <c r="R4" s="287"/>
      <c r="U4" s="13"/>
      <c r="V4" s="285" t="s">
        <v>282</v>
      </c>
      <c r="W4" s="286"/>
      <c r="X4" s="286"/>
      <c r="Y4" s="226"/>
      <c r="Z4" s="286" t="s">
        <v>199</v>
      </c>
      <c r="AA4" s="286"/>
      <c r="AB4" s="286"/>
      <c r="AC4" s="287"/>
      <c r="AD4" s="288" t="s">
        <v>227</v>
      </c>
      <c r="AE4" s="286"/>
      <c r="AF4" s="286"/>
      <c r="AG4" s="287"/>
      <c r="AH4" s="13"/>
      <c r="AI4" s="13"/>
      <c r="AJ4" s="13"/>
      <c r="AK4" s="13"/>
      <c r="AL4" s="13"/>
    </row>
    <row r="5" spans="2:61" ht="63">
      <c r="B5" s="58" t="s">
        <v>51</v>
      </c>
      <c r="C5" s="59" t="s">
        <v>207</v>
      </c>
      <c r="D5" s="59" t="s">
        <v>208</v>
      </c>
      <c r="E5" s="60" t="s">
        <v>209</v>
      </c>
      <c r="F5" s="61" t="s">
        <v>210</v>
      </c>
      <c r="G5" s="59" t="s">
        <v>183</v>
      </c>
      <c r="H5" s="21"/>
      <c r="I5" s="59" t="s">
        <v>212</v>
      </c>
      <c r="J5" s="59" t="s">
        <v>193</v>
      </c>
      <c r="K5" s="62" t="s">
        <v>211</v>
      </c>
      <c r="L5" s="63" t="s">
        <v>150</v>
      </c>
      <c r="M5" s="59" t="s">
        <v>183</v>
      </c>
      <c r="N5" s="21"/>
      <c r="O5" s="59" t="s">
        <v>283</v>
      </c>
      <c r="P5" s="59" t="s">
        <v>284</v>
      </c>
      <c r="Q5" s="62" t="s">
        <v>285</v>
      </c>
      <c r="R5" s="63" t="s">
        <v>150</v>
      </c>
      <c r="S5" s="59" t="s">
        <v>183</v>
      </c>
      <c r="U5" s="92" t="s">
        <v>51</v>
      </c>
      <c r="V5" s="59" t="s">
        <v>287</v>
      </c>
      <c r="W5" s="59" t="s">
        <v>284</v>
      </c>
      <c r="X5" s="60" t="s">
        <v>285</v>
      </c>
      <c r="Y5" s="62" t="s">
        <v>183</v>
      </c>
      <c r="Z5" s="63" t="s">
        <v>288</v>
      </c>
      <c r="AA5" s="59" t="s">
        <v>193</v>
      </c>
      <c r="AB5" s="59" t="s">
        <v>289</v>
      </c>
      <c r="AC5" s="59" t="s">
        <v>183</v>
      </c>
      <c r="AD5" s="93" t="s">
        <v>207</v>
      </c>
      <c r="AE5" s="59" t="s">
        <v>208</v>
      </c>
      <c r="AF5" s="59" t="s">
        <v>209</v>
      </c>
      <c r="AG5" s="59" t="s">
        <v>183</v>
      </c>
      <c r="AH5" s="13"/>
      <c r="AI5" s="97"/>
      <c r="AJ5" s="59">
        <v>2012</v>
      </c>
      <c r="AK5" s="59">
        <v>2013</v>
      </c>
      <c r="AL5" s="59">
        <v>2014</v>
      </c>
    </row>
    <row r="6" spans="2:61" ht="53.25" customHeight="1">
      <c r="B6" s="64" t="s">
        <v>54</v>
      </c>
      <c r="C6" s="65">
        <f>'Category Detail (2014)'!B15</f>
        <v>65500</v>
      </c>
      <c r="D6" s="65">
        <f>'Category Detail (2014)'!C15</f>
        <v>410000</v>
      </c>
      <c r="E6" s="66">
        <f>'Category Detail (2014)'!D15</f>
        <v>475500</v>
      </c>
      <c r="F6" s="67">
        <f>'Category Detail (2014)'!E15</f>
        <v>7500</v>
      </c>
      <c r="G6" s="222">
        <f>E6/$E$15</f>
        <v>0.32281059063136458</v>
      </c>
      <c r="H6" s="229"/>
      <c r="I6" s="65">
        <v>118331.00000000001</v>
      </c>
      <c r="J6" s="65">
        <v>421376.20000000007</v>
      </c>
      <c r="K6" s="70">
        <v>539707.20000000007</v>
      </c>
      <c r="L6" s="71">
        <v>23000</v>
      </c>
      <c r="M6" s="68">
        <f>K6/$K$15</f>
        <v>0.36640000000000006</v>
      </c>
      <c r="N6" s="21"/>
      <c r="O6" s="65">
        <v>392800.00000000006</v>
      </c>
      <c r="P6" s="65">
        <v>85434.000000000015</v>
      </c>
      <c r="Q6" s="70">
        <v>478234.00000000006</v>
      </c>
      <c r="R6" s="71">
        <v>33500</v>
      </c>
      <c r="S6" s="68">
        <f>Q6/$Q$15</f>
        <v>0.32466666666666671</v>
      </c>
      <c r="U6" s="295" t="s">
        <v>190</v>
      </c>
      <c r="V6" s="249">
        <f>SUM(O6:O8)</f>
        <v>623570</v>
      </c>
      <c r="W6" s="249">
        <f>SUM(P6:P8)</f>
        <v>163012.00000000003</v>
      </c>
      <c r="X6" s="249">
        <f>SUM(Q6:Q8)</f>
        <v>786582</v>
      </c>
      <c r="Y6" s="252">
        <f>X6/$X$15</f>
        <v>0.53400000000000003</v>
      </c>
      <c r="Z6" s="298">
        <f>SUM(I6:I8)</f>
        <v>251883.00000000003</v>
      </c>
      <c r="AA6" s="249">
        <f>SUM(J6:J8)</f>
        <v>511229.20000000007</v>
      </c>
      <c r="AB6" s="249">
        <f>SUM(K6:K8)</f>
        <v>763112.20000000007</v>
      </c>
      <c r="AC6" s="252">
        <f>AB6/$AF$15</f>
        <v>0.51806666666666668</v>
      </c>
      <c r="AD6" s="292">
        <f>SUM(C6:C8)</f>
        <v>170500</v>
      </c>
      <c r="AE6" s="249">
        <f>SUM(D6:D8)</f>
        <v>569000</v>
      </c>
      <c r="AF6" s="249">
        <f>SUM(E6:E8)</f>
        <v>739500</v>
      </c>
      <c r="AG6" s="289">
        <f>AF6/$AF$15</f>
        <v>0.50203665987780044</v>
      </c>
      <c r="AH6" s="13"/>
      <c r="AI6" s="97" t="s">
        <v>194</v>
      </c>
      <c r="AJ6" s="96">
        <f>V15</f>
        <v>1060560</v>
      </c>
      <c r="AK6" s="96">
        <f>Z15</f>
        <v>626025.00000000012</v>
      </c>
      <c r="AL6" s="96">
        <f>AD15</f>
        <v>482000</v>
      </c>
    </row>
    <row r="7" spans="2:61" ht="60" customHeight="1">
      <c r="B7" s="64" t="s">
        <v>69</v>
      </c>
      <c r="C7" s="65">
        <f>'Category Detail (2014)'!B22</f>
        <v>65000</v>
      </c>
      <c r="D7" s="65">
        <f>'Category Detail (2014)'!C22</f>
        <v>140000</v>
      </c>
      <c r="E7" s="66">
        <f>'Category Detail (2014)'!D22</f>
        <v>205000</v>
      </c>
      <c r="F7" s="67">
        <f>'Category Detail (2014)'!E22</f>
        <v>3000</v>
      </c>
      <c r="G7" s="222">
        <f>E7/$E$15</f>
        <v>0.13917175831636117</v>
      </c>
      <c r="H7" s="69"/>
      <c r="I7" s="65">
        <v>90344.000000000015</v>
      </c>
      <c r="J7" s="65">
        <v>67758</v>
      </c>
      <c r="K7" s="70">
        <v>158102</v>
      </c>
      <c r="L7" s="71">
        <v>4500</v>
      </c>
      <c r="M7" s="68">
        <f t="shared" ref="M7:M14" si="0">K7/$K$15</f>
        <v>0.10733333333333334</v>
      </c>
      <c r="N7" s="21"/>
      <c r="O7" s="65">
        <v>99182.000000000015</v>
      </c>
      <c r="P7" s="65">
        <v>36334</v>
      </c>
      <c r="Q7" s="70">
        <v>135516</v>
      </c>
      <c r="R7" s="71">
        <v>18000</v>
      </c>
      <c r="S7" s="68">
        <f t="shared" ref="S7:S14" si="1">Q7/$Q$15</f>
        <v>9.1999999999999998E-2</v>
      </c>
      <c r="U7" s="296"/>
      <c r="V7" s="250"/>
      <c r="W7" s="250"/>
      <c r="X7" s="250"/>
      <c r="Y7" s="253"/>
      <c r="Z7" s="299"/>
      <c r="AA7" s="250"/>
      <c r="AB7" s="250"/>
      <c r="AC7" s="253"/>
      <c r="AD7" s="293"/>
      <c r="AE7" s="250"/>
      <c r="AF7" s="250"/>
      <c r="AG7" s="290"/>
      <c r="AH7" s="13"/>
      <c r="AI7" s="97" t="s">
        <v>195</v>
      </c>
      <c r="AJ7" s="96">
        <f>W15</f>
        <v>412440.00000000006</v>
      </c>
      <c r="AK7" s="96">
        <f>AA15</f>
        <v>846975.00000000012</v>
      </c>
      <c r="AL7" s="96">
        <f>AE15</f>
        <v>991000</v>
      </c>
    </row>
    <row r="8" spans="2:61" ht="38.25" customHeight="1">
      <c r="B8" s="64" t="s">
        <v>52</v>
      </c>
      <c r="C8" s="65">
        <f>'Category Detail (2014)'!B29</f>
        <v>40000</v>
      </c>
      <c r="D8" s="65">
        <f>'Category Detail (2014)'!C29</f>
        <v>19000</v>
      </c>
      <c r="E8" s="66">
        <f>'Category Detail (2014)'!D29</f>
        <v>59000</v>
      </c>
      <c r="F8" s="67">
        <f>'Category Detail (2014)'!E29</f>
        <v>1100</v>
      </c>
      <c r="G8" s="222">
        <f t="shared" ref="G8:G14" si="2">E8/$E$15</f>
        <v>4.005431093007468E-2</v>
      </c>
      <c r="H8" s="69"/>
      <c r="I8" s="65">
        <v>43208.000000000007</v>
      </c>
      <c r="J8" s="65">
        <v>22095.000000000004</v>
      </c>
      <c r="K8" s="70">
        <v>65303.000000000015</v>
      </c>
      <c r="L8" s="71">
        <v>2000</v>
      </c>
      <c r="M8" s="68">
        <f t="shared" si="0"/>
        <v>4.4333333333333343E-2</v>
      </c>
      <c r="N8" s="21"/>
      <c r="O8" s="65">
        <v>131588</v>
      </c>
      <c r="P8" s="65">
        <v>41244.000000000007</v>
      </c>
      <c r="Q8" s="70">
        <v>172832</v>
      </c>
      <c r="R8" s="71">
        <v>24500</v>
      </c>
      <c r="S8" s="68">
        <f t="shared" si="1"/>
        <v>0.11733333333333333</v>
      </c>
      <c r="U8" s="297"/>
      <c r="V8" s="251"/>
      <c r="W8" s="251"/>
      <c r="X8" s="251"/>
      <c r="Y8" s="254"/>
      <c r="Z8" s="300"/>
      <c r="AA8" s="251"/>
      <c r="AB8" s="251"/>
      <c r="AC8" s="254"/>
      <c r="AD8" s="294"/>
      <c r="AE8" s="251"/>
      <c r="AF8" s="251"/>
      <c r="AG8" s="291"/>
      <c r="AH8" s="13"/>
      <c r="AI8" s="95" t="s">
        <v>22</v>
      </c>
      <c r="AJ8" s="86">
        <f>SUM(AJ6:AJ7)</f>
        <v>1473000</v>
      </c>
      <c r="AK8" s="86">
        <f>SUM(AK6:AK7)</f>
        <v>1473000.0000000002</v>
      </c>
      <c r="AL8" s="86">
        <f>SUM(AL6:AL7)</f>
        <v>1473000</v>
      </c>
    </row>
    <row r="9" spans="2:61" ht="38.25" customHeight="1">
      <c r="B9" s="72" t="s">
        <v>68</v>
      </c>
      <c r="C9" s="73">
        <f>'Category Detail (2014)'!B37</f>
        <v>65000</v>
      </c>
      <c r="D9" s="73">
        <f>'Category Detail (2014)'!C37</f>
        <v>120000</v>
      </c>
      <c r="E9" s="74">
        <f>'Category Detail (2014)'!D37</f>
        <v>185000</v>
      </c>
      <c r="F9" s="75">
        <f>'Category Detail (2014)'!E37</f>
        <v>25000</v>
      </c>
      <c r="G9" s="223">
        <f t="shared" si="2"/>
        <v>0.12559402579769177</v>
      </c>
      <c r="H9" s="229"/>
      <c r="I9" s="73">
        <v>55974.000000000007</v>
      </c>
      <c r="J9" s="73">
        <v>37316</v>
      </c>
      <c r="K9" s="77">
        <v>93290</v>
      </c>
      <c r="L9" s="78">
        <v>3000</v>
      </c>
      <c r="M9" s="76">
        <f t="shared" si="0"/>
        <v>6.3333333333333339E-2</v>
      </c>
      <c r="N9" s="21"/>
      <c r="O9" s="73">
        <v>84452.000000000015</v>
      </c>
      <c r="P9" s="73">
        <v>47136.000000000007</v>
      </c>
      <c r="Q9" s="77">
        <v>131588.00000000003</v>
      </c>
      <c r="R9" s="78">
        <v>12000</v>
      </c>
      <c r="S9" s="76">
        <f t="shared" si="1"/>
        <v>8.9333333333333348E-2</v>
      </c>
      <c r="U9" s="304" t="s">
        <v>191</v>
      </c>
      <c r="V9" s="261">
        <f>SUM(O9:O11)</f>
        <v>261212.00000000006</v>
      </c>
      <c r="W9" s="261">
        <f>SUM(P9:P11)</f>
        <v>151228.00000000003</v>
      </c>
      <c r="X9" s="261">
        <f>SUM(Q9:Q11)</f>
        <v>412440.00000000006</v>
      </c>
      <c r="Y9" s="282">
        <f>X9/$X$15</f>
        <v>0.28000000000000003</v>
      </c>
      <c r="Z9" s="279">
        <f>SUM(I9:I11)</f>
        <v>200328.00000000003</v>
      </c>
      <c r="AA9" s="261">
        <f>SUM(J9:J11)</f>
        <v>127561.8</v>
      </c>
      <c r="AB9" s="261">
        <f>SUM(K9:K11)</f>
        <v>327889.80000000005</v>
      </c>
      <c r="AC9" s="282">
        <f>AB9/$X$15</f>
        <v>0.22260000000000002</v>
      </c>
      <c r="AD9" s="255">
        <f>SUM(C9:C11)</f>
        <v>137500</v>
      </c>
      <c r="AE9" s="261">
        <f t="shared" ref="AE9:AF9" si="3">SUM(D9:D11)</f>
        <v>186000</v>
      </c>
      <c r="AF9" s="261">
        <f t="shared" si="3"/>
        <v>323500</v>
      </c>
      <c r="AG9" s="267">
        <f>AF9/$AF$15</f>
        <v>0.21961982348947726</v>
      </c>
      <c r="AH9" s="13"/>
      <c r="AI9" s="13"/>
      <c r="AJ9" s="13"/>
      <c r="AK9" s="13"/>
      <c r="AL9" s="13"/>
    </row>
    <row r="10" spans="2:61" ht="38.25" customHeight="1">
      <c r="B10" s="72" t="s">
        <v>30</v>
      </c>
      <c r="C10" s="73">
        <f>'Category Detail (2014)'!B45</f>
        <v>60000</v>
      </c>
      <c r="D10" s="73">
        <f>'Category Detail (2014)'!C45</f>
        <v>60000</v>
      </c>
      <c r="E10" s="74">
        <f>'Category Detail (2014)'!D45</f>
        <v>120000</v>
      </c>
      <c r="F10" s="75">
        <f>'Category Detail (2014)'!E45</f>
        <v>42500</v>
      </c>
      <c r="G10" s="223">
        <f t="shared" si="2"/>
        <v>8.1466395112016296E-2</v>
      </c>
      <c r="H10" s="69"/>
      <c r="I10" s="73">
        <v>124714.00000000001</v>
      </c>
      <c r="J10" s="73">
        <v>24451.800000000003</v>
      </c>
      <c r="K10" s="77">
        <v>149165.80000000002</v>
      </c>
      <c r="L10" s="78">
        <v>12450</v>
      </c>
      <c r="M10" s="76">
        <f t="shared" si="0"/>
        <v>0.10126666666666669</v>
      </c>
      <c r="N10" s="21"/>
      <c r="O10" s="73">
        <v>176760.00000000003</v>
      </c>
      <c r="P10" s="73">
        <v>47136.000000000007</v>
      </c>
      <c r="Q10" s="77">
        <v>223896.00000000003</v>
      </c>
      <c r="R10" s="78">
        <v>24000</v>
      </c>
      <c r="S10" s="76">
        <f t="shared" si="1"/>
        <v>0.15200000000000002</v>
      </c>
      <c r="U10" s="305"/>
      <c r="V10" s="262"/>
      <c r="W10" s="262"/>
      <c r="X10" s="262"/>
      <c r="Y10" s="283"/>
      <c r="Z10" s="280"/>
      <c r="AA10" s="262"/>
      <c r="AB10" s="262"/>
      <c r="AC10" s="283"/>
      <c r="AD10" s="256"/>
      <c r="AE10" s="262"/>
      <c r="AF10" s="262"/>
      <c r="AG10" s="268"/>
      <c r="AH10" s="13"/>
      <c r="AI10" s="13"/>
      <c r="AJ10" s="13"/>
      <c r="AK10" s="13"/>
      <c r="AL10" s="13"/>
    </row>
    <row r="11" spans="2:61" ht="38.25" customHeight="1">
      <c r="B11" s="72" t="s">
        <v>74</v>
      </c>
      <c r="C11" s="73">
        <f>'Category Detail (2014)'!B51</f>
        <v>12500</v>
      </c>
      <c r="D11" s="73">
        <f>'Category Detail (2014)'!C51</f>
        <v>6000</v>
      </c>
      <c r="E11" s="74">
        <f>'Category Detail (2014)'!D51</f>
        <v>18500</v>
      </c>
      <c r="F11" s="75">
        <f>'Category Detail (2014)'!E51</f>
        <v>6000</v>
      </c>
      <c r="G11" s="223">
        <f t="shared" si="2"/>
        <v>1.2559402579769178E-2</v>
      </c>
      <c r="H11" s="69"/>
      <c r="I11" s="73">
        <v>19640.000000000004</v>
      </c>
      <c r="J11" s="73">
        <v>65794</v>
      </c>
      <c r="K11" s="77">
        <v>85434</v>
      </c>
      <c r="L11" s="78">
        <v>16000</v>
      </c>
      <c r="M11" s="76">
        <f t="shared" si="0"/>
        <v>5.8000000000000003E-2</v>
      </c>
      <c r="N11" s="21"/>
      <c r="O11" s="73">
        <v>0</v>
      </c>
      <c r="P11" s="73">
        <v>56956.000000000007</v>
      </c>
      <c r="Q11" s="77">
        <v>56956.000000000007</v>
      </c>
      <c r="R11" s="78">
        <v>12000</v>
      </c>
      <c r="S11" s="76">
        <f t="shared" si="1"/>
        <v>3.8666666666666669E-2</v>
      </c>
      <c r="U11" s="306"/>
      <c r="V11" s="263"/>
      <c r="W11" s="263"/>
      <c r="X11" s="263"/>
      <c r="Y11" s="284"/>
      <c r="Z11" s="281"/>
      <c r="AA11" s="263"/>
      <c r="AB11" s="263"/>
      <c r="AC11" s="284"/>
      <c r="AD11" s="257"/>
      <c r="AE11" s="263"/>
      <c r="AF11" s="263"/>
      <c r="AG11" s="269"/>
      <c r="AH11" s="13"/>
      <c r="AI11" s="13"/>
      <c r="AJ11" s="13"/>
      <c r="AK11" s="13"/>
      <c r="AL11" s="13"/>
    </row>
    <row r="12" spans="2:61" ht="38.25" customHeight="1">
      <c r="B12" s="79" t="s">
        <v>50</v>
      </c>
      <c r="C12" s="219">
        <f>'Category Detail (2014)'!B60</f>
        <v>25000</v>
      </c>
      <c r="D12" s="219">
        <f>'Category Detail (2014)'!C60</f>
        <v>40000</v>
      </c>
      <c r="E12" s="220">
        <f>'Category Detail (2014)'!D60</f>
        <v>65000</v>
      </c>
      <c r="F12" s="82">
        <f>'Category Detail (2014)'!E60</f>
        <v>75000</v>
      </c>
      <c r="G12" s="224">
        <f t="shared" si="2"/>
        <v>4.412763068567549E-2</v>
      </c>
      <c r="H12" s="229"/>
      <c r="I12" s="219">
        <v>0</v>
      </c>
      <c r="J12" s="219">
        <v>0</v>
      </c>
      <c r="K12" s="84">
        <v>0</v>
      </c>
      <c r="L12" s="221">
        <v>65000</v>
      </c>
      <c r="M12" s="83">
        <f t="shared" si="0"/>
        <v>0</v>
      </c>
      <c r="N12" s="21"/>
      <c r="O12" s="219">
        <v>0</v>
      </c>
      <c r="P12" s="219">
        <v>0</v>
      </c>
      <c r="Q12" s="84">
        <v>0</v>
      </c>
      <c r="R12" s="221">
        <v>50000</v>
      </c>
      <c r="S12" s="83">
        <f t="shared" si="1"/>
        <v>0</v>
      </c>
      <c r="U12" s="301" t="s">
        <v>192</v>
      </c>
      <c r="V12" s="258">
        <f>SUM(O12:O14)</f>
        <v>175778.00000000003</v>
      </c>
      <c r="W12" s="258">
        <f>SUM(P12:P14)</f>
        <v>98200.000000000015</v>
      </c>
      <c r="X12" s="258">
        <f>SUM(Q12:Q14)</f>
        <v>273978.00000000006</v>
      </c>
      <c r="Y12" s="276">
        <f>X12/$X$15</f>
        <v>0.18600000000000003</v>
      </c>
      <c r="Z12" s="273">
        <f>SUM(I12:I14)</f>
        <v>173814.00000000003</v>
      </c>
      <c r="AA12" s="258">
        <f>SUM(J12:J14)</f>
        <v>208184.00000000003</v>
      </c>
      <c r="AB12" s="258">
        <f>SUM(K12:K14)</f>
        <v>381998.00000000006</v>
      </c>
      <c r="AC12" s="276">
        <f>AB12/$X$15</f>
        <v>0.25933333333333336</v>
      </c>
      <c r="AD12" s="264">
        <f>SUM(C12:C14)</f>
        <v>174000</v>
      </c>
      <c r="AE12" s="258">
        <f t="shared" ref="AE12:AF12" si="4">SUM(D12:D14)</f>
        <v>236000</v>
      </c>
      <c r="AF12" s="258">
        <f t="shared" si="4"/>
        <v>410000</v>
      </c>
      <c r="AG12" s="270">
        <f>AF12/$AF$15</f>
        <v>0.27834351663272233</v>
      </c>
      <c r="AH12" s="13"/>
      <c r="AI12" s="13"/>
      <c r="AJ12" s="13"/>
      <c r="AK12" s="13"/>
      <c r="AL12" s="13"/>
    </row>
    <row r="13" spans="2:61" ht="38.25" customHeight="1">
      <c r="B13" s="79" t="s">
        <v>21</v>
      </c>
      <c r="C13" s="219">
        <f>'Category Detail (2014)'!B66</f>
        <v>145000</v>
      </c>
      <c r="D13" s="219">
        <f>'Category Detail (2014)'!C66</f>
        <v>0</v>
      </c>
      <c r="E13" s="220">
        <f>'Category Detail (2014)'!D66</f>
        <v>145000</v>
      </c>
      <c r="F13" s="82">
        <f>'Category Detail (2014)'!E66</f>
        <v>5000</v>
      </c>
      <c r="G13" s="224">
        <f t="shared" si="2"/>
        <v>9.8438560760353025E-2</v>
      </c>
      <c r="H13" s="69"/>
      <c r="I13" s="219">
        <v>170868.00000000003</v>
      </c>
      <c r="J13" s="219">
        <v>0</v>
      </c>
      <c r="K13" s="84">
        <v>170868.00000000003</v>
      </c>
      <c r="L13" s="221">
        <v>7000</v>
      </c>
      <c r="M13" s="83">
        <f t="shared" si="0"/>
        <v>0.11600000000000002</v>
      </c>
      <c r="N13" s="21"/>
      <c r="O13" s="219">
        <v>170868.00000000003</v>
      </c>
      <c r="P13" s="219">
        <v>0</v>
      </c>
      <c r="Q13" s="84">
        <v>170868.00000000003</v>
      </c>
      <c r="R13" s="221">
        <v>7000</v>
      </c>
      <c r="S13" s="83">
        <f t="shared" si="1"/>
        <v>0.11600000000000002</v>
      </c>
      <c r="U13" s="302"/>
      <c r="V13" s="259"/>
      <c r="W13" s="259"/>
      <c r="X13" s="259"/>
      <c r="Y13" s="277"/>
      <c r="Z13" s="274"/>
      <c r="AA13" s="259"/>
      <c r="AB13" s="259"/>
      <c r="AC13" s="277"/>
      <c r="AD13" s="265"/>
      <c r="AE13" s="259"/>
      <c r="AF13" s="259"/>
      <c r="AG13" s="271"/>
      <c r="AH13" s="13"/>
      <c r="AI13" s="13"/>
      <c r="AJ13" s="13"/>
      <c r="AK13" s="13"/>
      <c r="AL13" s="13"/>
    </row>
    <row r="14" spans="2:61" ht="38.25" customHeight="1">
      <c r="B14" s="79" t="s">
        <v>53</v>
      </c>
      <c r="C14" s="219">
        <f>'Category Detail (2014)'!B74</f>
        <v>4000</v>
      </c>
      <c r="D14" s="219">
        <f>'Category Detail (2014)'!C74</f>
        <v>196000</v>
      </c>
      <c r="E14" s="220">
        <f>'Category Detail (2014)'!D74</f>
        <v>200000</v>
      </c>
      <c r="F14" s="82">
        <f>'Category Detail (2014)'!E74</f>
        <v>112000</v>
      </c>
      <c r="G14" s="224">
        <f t="shared" si="2"/>
        <v>0.13577732518669383</v>
      </c>
      <c r="H14" s="69"/>
      <c r="I14" s="219">
        <v>2946.0000000000005</v>
      </c>
      <c r="J14" s="219">
        <v>208184.00000000003</v>
      </c>
      <c r="K14" s="84">
        <v>211130.00000000003</v>
      </c>
      <c r="L14" s="221">
        <v>131000</v>
      </c>
      <c r="M14" s="83">
        <f t="shared" si="0"/>
        <v>0.14333333333333334</v>
      </c>
      <c r="N14" s="21"/>
      <c r="O14" s="219">
        <v>4910.0000000000009</v>
      </c>
      <c r="P14" s="219">
        <v>98200.000000000015</v>
      </c>
      <c r="Q14" s="84">
        <v>103110.00000000001</v>
      </c>
      <c r="R14" s="221">
        <v>180000</v>
      </c>
      <c r="S14" s="83">
        <f t="shared" si="1"/>
        <v>7.0000000000000007E-2</v>
      </c>
      <c r="U14" s="303"/>
      <c r="V14" s="260"/>
      <c r="W14" s="260"/>
      <c r="X14" s="260"/>
      <c r="Y14" s="278"/>
      <c r="Z14" s="275"/>
      <c r="AA14" s="260"/>
      <c r="AB14" s="260"/>
      <c r="AC14" s="278"/>
      <c r="AD14" s="266"/>
      <c r="AE14" s="260"/>
      <c r="AF14" s="260"/>
      <c r="AG14" s="272"/>
      <c r="AH14" s="13"/>
      <c r="AI14" s="13"/>
      <c r="AJ14" s="13"/>
      <c r="AK14" s="13"/>
      <c r="AL14" s="13"/>
    </row>
    <row r="15" spans="2:61" ht="38.25" customHeight="1">
      <c r="B15" s="85" t="s">
        <v>22</v>
      </c>
      <c r="C15" s="86">
        <f>SUM(C6:C14)</f>
        <v>482000</v>
      </c>
      <c r="D15" s="86">
        <f t="shared" ref="D15:F15" si="5">SUM(D6:D14)</f>
        <v>991000</v>
      </c>
      <c r="E15" s="87">
        <f t="shared" si="5"/>
        <v>1473000</v>
      </c>
      <c r="F15" s="88">
        <f t="shared" si="5"/>
        <v>277100</v>
      </c>
      <c r="G15" s="89">
        <f>SUM(G6:G14)</f>
        <v>1</v>
      </c>
      <c r="H15" s="69"/>
      <c r="I15" s="86">
        <f>SUM(I6:I14)</f>
        <v>626025.00000000012</v>
      </c>
      <c r="J15" s="86">
        <f>SUM(J6:J14)</f>
        <v>846975.00000000012</v>
      </c>
      <c r="K15" s="90">
        <f>SUM(K6:K14)</f>
        <v>1473000</v>
      </c>
      <c r="L15" s="91">
        <f>SUM(L6:L14)</f>
        <v>263950</v>
      </c>
      <c r="M15" s="89">
        <f>SUM(M6:M14)</f>
        <v>1.0000000000000002</v>
      </c>
      <c r="N15" s="21"/>
      <c r="O15" s="86">
        <f>SUM(O6:O14)</f>
        <v>1060560</v>
      </c>
      <c r="P15" s="86">
        <f>SUM(P6:P14)</f>
        <v>412440.00000000006</v>
      </c>
      <c r="Q15" s="90">
        <f>SUM(Q6:Q14)</f>
        <v>1473000</v>
      </c>
      <c r="R15" s="91">
        <f>SUM(R6:R14)</f>
        <v>361000</v>
      </c>
      <c r="S15" s="89">
        <f>SUM(S6:S14)</f>
        <v>1</v>
      </c>
      <c r="U15" s="95" t="s">
        <v>22</v>
      </c>
      <c r="V15" s="86">
        <f>SUM(V6:V14)</f>
        <v>1060560</v>
      </c>
      <c r="W15" s="86">
        <f t="shared" ref="W15:X15" si="6">SUM(W6:W14)</f>
        <v>412440.00000000006</v>
      </c>
      <c r="X15" s="87">
        <f t="shared" si="6"/>
        <v>1473000</v>
      </c>
      <c r="Y15" s="227">
        <f>SUM(Y6:Y14)</f>
        <v>1</v>
      </c>
      <c r="Z15" s="91">
        <f t="shared" ref="Z15:AB15" si="7">SUM(Z6:Z14)</f>
        <v>626025.00000000012</v>
      </c>
      <c r="AA15" s="86">
        <f t="shared" si="7"/>
        <v>846975.00000000012</v>
      </c>
      <c r="AB15" s="86">
        <f t="shared" si="7"/>
        <v>1473000</v>
      </c>
      <c r="AC15" s="89">
        <f>SUM(AC6:AC14)</f>
        <v>1</v>
      </c>
      <c r="AD15" s="215">
        <f t="shared" ref="AD15:AF15" si="8">SUM(AD6:AD14)</f>
        <v>482000</v>
      </c>
      <c r="AE15" s="86">
        <f t="shared" si="8"/>
        <v>991000</v>
      </c>
      <c r="AF15" s="86">
        <f t="shared" si="8"/>
        <v>1473000</v>
      </c>
      <c r="AG15" s="89">
        <f>SUM(AG6:AG14)</f>
        <v>1</v>
      </c>
      <c r="AH15" s="13"/>
      <c r="AI15" s="13"/>
      <c r="AJ15" s="13"/>
      <c r="AK15" s="13"/>
      <c r="AL15" s="13"/>
    </row>
    <row r="16" spans="2:61">
      <c r="F16" s="228"/>
      <c r="J16" s="228"/>
      <c r="K16" s="10"/>
      <c r="Q16" s="10"/>
      <c r="BI16" s="225"/>
    </row>
    <row r="122" spans="14:17">
      <c r="O122">
        <v>2012</v>
      </c>
      <c r="P122">
        <v>2013</v>
      </c>
      <c r="Q122">
        <v>2014</v>
      </c>
    </row>
    <row r="123" spans="14:17">
      <c r="N123" s="314" t="s">
        <v>194</v>
      </c>
      <c r="O123" s="228">
        <f>O15</f>
        <v>1060560</v>
      </c>
      <c r="P123" s="228">
        <f>I15</f>
        <v>626025.00000000012</v>
      </c>
      <c r="Q123" s="228">
        <f>C15</f>
        <v>482000</v>
      </c>
    </row>
    <row r="124" spans="14:17">
      <c r="O124">
        <v>2012</v>
      </c>
      <c r="P124">
        <v>2013</v>
      </c>
      <c r="Q124">
        <v>2014</v>
      </c>
    </row>
    <row r="125" spans="14:17">
      <c r="N125" s="314" t="s">
        <v>195</v>
      </c>
      <c r="O125" s="228">
        <f>P15</f>
        <v>412440.00000000006</v>
      </c>
      <c r="P125" s="228">
        <f>J15</f>
        <v>846975.00000000012</v>
      </c>
      <c r="Q125" s="228">
        <f>D15</f>
        <v>991000</v>
      </c>
    </row>
  </sheetData>
  <mergeCells count="45">
    <mergeCell ref="U9:U11"/>
    <mergeCell ref="V9:V11"/>
    <mergeCell ref="W9:W11"/>
    <mergeCell ref="X9:X11"/>
    <mergeCell ref="Y9:Y11"/>
    <mergeCell ref="U12:U14"/>
    <mergeCell ref="V12:V14"/>
    <mergeCell ref="W12:W14"/>
    <mergeCell ref="X12:X14"/>
    <mergeCell ref="Y12:Y14"/>
    <mergeCell ref="C4:F4"/>
    <mergeCell ref="I4:L4"/>
    <mergeCell ref="V4:X4"/>
    <mergeCell ref="AD4:AG4"/>
    <mergeCell ref="AG6:AG8"/>
    <mergeCell ref="O4:R4"/>
    <mergeCell ref="AD6:AD8"/>
    <mergeCell ref="AE6:AE8"/>
    <mergeCell ref="AF6:AF8"/>
    <mergeCell ref="U6:U8"/>
    <mergeCell ref="V6:V8"/>
    <mergeCell ref="W6:W8"/>
    <mergeCell ref="X6:X8"/>
    <mergeCell ref="Y6:Y8"/>
    <mergeCell ref="Z4:AC4"/>
    <mergeCell ref="Z6:Z8"/>
    <mergeCell ref="AG9:AG11"/>
    <mergeCell ref="AG12:AG14"/>
    <mergeCell ref="AE9:AE11"/>
    <mergeCell ref="Z12:Z14"/>
    <mergeCell ref="AA12:AA14"/>
    <mergeCell ref="AB12:AB14"/>
    <mergeCell ref="AC12:AC14"/>
    <mergeCell ref="Z9:Z11"/>
    <mergeCell ref="AA9:AA11"/>
    <mergeCell ref="AB9:AB11"/>
    <mergeCell ref="AC9:AC11"/>
    <mergeCell ref="AA6:AA8"/>
    <mergeCell ref="AB6:AB8"/>
    <mergeCell ref="AC6:AC8"/>
    <mergeCell ref="AD9:AD11"/>
    <mergeCell ref="AF12:AF14"/>
    <mergeCell ref="AF9:AF11"/>
    <mergeCell ref="AD12:AD14"/>
    <mergeCell ref="AE12:AE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X86"/>
  <sheetViews>
    <sheetView topLeftCell="A7" zoomScaleNormal="100" zoomScalePageLayoutView="78" workbookViewId="0">
      <pane xSplit="1" ySplit="2" topLeftCell="B9" activePane="bottomRight" state="frozen"/>
      <selection activeCell="A7" sqref="A7"/>
      <selection pane="topRight" activeCell="B7" sqref="B7"/>
      <selection pane="bottomLeft" activeCell="A9" sqref="A9"/>
      <selection pane="bottomRight" activeCell="A7" sqref="A7"/>
    </sheetView>
  </sheetViews>
  <sheetFormatPr defaultColWidth="8.85546875" defaultRowHeight="15.75"/>
  <cols>
    <col min="1" max="1" width="84" style="21" bestFit="1" customWidth="1"/>
    <col min="2" max="2" width="15.28515625" style="21" bestFit="1" customWidth="1"/>
    <col min="3" max="3" width="13.42578125" style="21" bestFit="1" customWidth="1"/>
    <col min="4" max="4" width="15.28515625" style="21" bestFit="1" customWidth="1"/>
    <col min="5" max="5" width="15.42578125" style="21" bestFit="1" customWidth="1"/>
    <col min="6" max="6" width="13.140625" style="21" bestFit="1" customWidth="1"/>
    <col min="7" max="7" width="8" style="21" bestFit="1" customWidth="1"/>
    <col min="8" max="9" width="10.7109375" style="21" bestFit="1" customWidth="1"/>
    <col min="10" max="10" width="9.140625" style="21" bestFit="1" customWidth="1"/>
    <col min="11" max="11" width="180.28515625" style="21" bestFit="1" customWidth="1"/>
    <col min="12" max="12" width="8.85546875" style="32"/>
    <col min="13" max="16384" width="8.85546875" style="21"/>
  </cols>
  <sheetData>
    <row r="1" spans="1:24">
      <c r="A1" s="21" t="s">
        <v>213</v>
      </c>
    </row>
    <row r="2" spans="1:24">
      <c r="A2" s="33" t="str">
        <f>'Table of Contents'!B2</f>
        <v>Final - Adopted by RTF on October 15, Approved by Council on November 5.</v>
      </c>
    </row>
    <row r="3" spans="1:24">
      <c r="A3" s="34"/>
    </row>
    <row r="4" spans="1:24">
      <c r="A4" s="21" t="s">
        <v>106</v>
      </c>
    </row>
    <row r="5" spans="1:24">
      <c r="A5" s="21" t="s">
        <v>107</v>
      </c>
    </row>
    <row r="7" spans="1:24" ht="29.25" customHeight="1">
      <c r="D7" s="14">
        <f>D77</f>
        <v>1473000</v>
      </c>
      <c r="E7" s="101"/>
      <c r="F7" s="102"/>
      <c r="G7" s="307" t="s">
        <v>105</v>
      </c>
      <c r="H7" s="308"/>
      <c r="I7" s="308"/>
      <c r="J7" s="309"/>
    </row>
    <row r="8" spans="1:24" s="39" customFormat="1" ht="63">
      <c r="A8" s="35" t="s">
        <v>170</v>
      </c>
      <c r="B8" s="36" t="s">
        <v>194</v>
      </c>
      <c r="C8" s="36" t="s">
        <v>200</v>
      </c>
      <c r="D8" s="36" t="s">
        <v>156</v>
      </c>
      <c r="E8" s="36" t="s">
        <v>155</v>
      </c>
      <c r="F8" s="36" t="s">
        <v>186</v>
      </c>
      <c r="G8" s="103" t="s">
        <v>72</v>
      </c>
      <c r="H8" s="103" t="s">
        <v>73</v>
      </c>
      <c r="I8" s="103" t="s">
        <v>28</v>
      </c>
      <c r="J8" s="103" t="s">
        <v>29</v>
      </c>
      <c r="K8" s="15" t="s">
        <v>115</v>
      </c>
      <c r="L8" s="38"/>
    </row>
    <row r="9" spans="1:24" s="39" customFormat="1">
      <c r="A9" s="16" t="s">
        <v>54</v>
      </c>
      <c r="B9" s="17"/>
      <c r="C9" s="17"/>
      <c r="D9" s="17"/>
      <c r="E9" s="17"/>
      <c r="F9" s="20"/>
      <c r="G9" s="20"/>
      <c r="H9" s="40"/>
      <c r="I9" s="20"/>
      <c r="J9" s="20"/>
      <c r="K9" s="20"/>
      <c r="L9" s="41"/>
      <c r="M9" s="20"/>
      <c r="N9" s="20"/>
      <c r="O9" s="20"/>
      <c r="P9" s="20"/>
      <c r="Q9" s="20"/>
      <c r="R9" s="20"/>
      <c r="S9" s="20"/>
      <c r="T9" s="20"/>
      <c r="U9" s="20"/>
      <c r="V9" s="20"/>
      <c r="W9" s="20"/>
      <c r="X9" s="20"/>
    </row>
    <row r="10" spans="1:24" s="39" customFormat="1">
      <c r="A10" s="18" t="s">
        <v>221</v>
      </c>
      <c r="B10" s="44">
        <f t="shared" ref="B10:B14" si="0">G10*H10</f>
        <v>18000</v>
      </c>
      <c r="C10" s="44">
        <f t="shared" ref="C10:C14" si="1">G10*I10</f>
        <v>81000</v>
      </c>
      <c r="D10" s="44">
        <f t="shared" ref="D10:D14" si="2">SUM(B10:C10)</f>
        <v>99000</v>
      </c>
      <c r="E10" s="44">
        <f t="shared" ref="E10:E14" si="3">G10*J10</f>
        <v>2250</v>
      </c>
      <c r="F10" s="230"/>
      <c r="G10" s="231">
        <v>9</v>
      </c>
      <c r="H10" s="40">
        <v>2000</v>
      </c>
      <c r="I10" s="42">
        <v>9000</v>
      </c>
      <c r="J10" s="42">
        <v>250</v>
      </c>
      <c r="K10" s="19" t="str">
        <f>CONCATENATE("Average 4-year review cycle @ $",H10/1000,"K each. (Res: Freezers, LEDs, Dishwashers, Fridge Decom, Montana House 2, Estar MF Homes).; Com: LED Traffic signals, APS). Assume staff does most of the updating and 3rd party contractor reviews.")</f>
        <v>Average 4-year review cycle @ $2K each. (Res: Freezers, LEDs, Dishwashers, Fridge Decom, Montana House 2, Estar MF Homes).; Com: LED Traffic signals, APS). Assume staff does most of the updating and 3rd party contractor reviews.</v>
      </c>
      <c r="L10" s="41"/>
      <c r="M10" s="20"/>
      <c r="N10" s="20"/>
      <c r="O10" s="20"/>
      <c r="P10" s="20"/>
      <c r="Q10" s="20"/>
      <c r="R10" s="20"/>
      <c r="S10" s="20"/>
      <c r="T10" s="20"/>
      <c r="U10" s="20"/>
      <c r="V10" s="20"/>
      <c r="W10" s="20"/>
      <c r="X10" s="20"/>
    </row>
    <row r="11" spans="1:24" s="39" customFormat="1">
      <c r="A11" s="18" t="s">
        <v>231</v>
      </c>
      <c r="B11" s="44">
        <f t="shared" ref="B11" si="4">G11*H11</f>
        <v>22500</v>
      </c>
      <c r="C11" s="44">
        <f t="shared" ref="C11" si="5">G11*I11</f>
        <v>175000</v>
      </c>
      <c r="D11" s="44">
        <f t="shared" si="2"/>
        <v>197500</v>
      </c>
      <c r="E11" s="44">
        <f t="shared" ref="E11" si="6">G11*J11</f>
        <v>1250</v>
      </c>
      <c r="F11" s="232"/>
      <c r="G11" s="231">
        <v>5</v>
      </c>
      <c r="H11" s="40">
        <v>4500</v>
      </c>
      <c r="I11" s="42">
        <v>35000</v>
      </c>
      <c r="J11" s="42">
        <v>250</v>
      </c>
      <c r="K11" s="19" t="s">
        <v>293</v>
      </c>
      <c r="L11" s="41"/>
      <c r="M11" s="20"/>
      <c r="N11" s="20"/>
      <c r="O11" s="20"/>
      <c r="P11" s="20"/>
      <c r="Q11" s="20"/>
      <c r="R11" s="20"/>
      <c r="S11" s="20"/>
      <c r="T11" s="20"/>
      <c r="U11" s="20"/>
      <c r="V11" s="20"/>
      <c r="W11" s="20"/>
      <c r="X11" s="20"/>
    </row>
    <row r="12" spans="1:24" s="39" customFormat="1">
      <c r="A12" s="19" t="s">
        <v>164</v>
      </c>
      <c r="B12" s="44">
        <f t="shared" si="0"/>
        <v>8000</v>
      </c>
      <c r="C12" s="44">
        <f t="shared" si="1"/>
        <v>36000</v>
      </c>
      <c r="D12" s="44">
        <f t="shared" si="2"/>
        <v>44000</v>
      </c>
      <c r="E12" s="44">
        <f t="shared" si="3"/>
        <v>1000</v>
      </c>
      <c r="F12" s="230"/>
      <c r="G12" s="231">
        <v>4</v>
      </c>
      <c r="H12" s="40">
        <v>2000</v>
      </c>
      <c r="I12" s="42">
        <v>9000</v>
      </c>
      <c r="J12" s="42">
        <v>250</v>
      </c>
      <c r="K12" s="19" t="str">
        <f>CONCATENATE("Average 4-year review cycle @ $",I12/1000,"K each. (Res: HPWH, VSHP upgrade &amp; conversion, HPMH). Expect staff does most of updating and 3rd party contractor reviews. Includes staff time to analyze provisional data and incorporate results into workbooks.")</f>
        <v>Average 4-year review cycle @ $9K each. (Res: HPWH, VSHP upgrade &amp; conversion, HPMH). Expect staff does most of updating and 3rd party contractor reviews. Includes staff time to analyze provisional data and incorporate results into workbooks.</v>
      </c>
      <c r="L12" s="43"/>
      <c r="M12" s="20"/>
      <c r="N12" s="20"/>
      <c r="O12" s="20"/>
      <c r="P12" s="20"/>
      <c r="Q12" s="20"/>
      <c r="R12" s="20"/>
      <c r="S12" s="20"/>
      <c r="T12" s="20"/>
      <c r="U12" s="20"/>
      <c r="V12" s="20"/>
      <c r="W12" s="20"/>
      <c r="X12" s="20"/>
    </row>
    <row r="13" spans="1:24" s="39" customFormat="1">
      <c r="A13" s="19" t="s">
        <v>166</v>
      </c>
      <c r="B13" s="44">
        <f t="shared" si="0"/>
        <v>4500</v>
      </c>
      <c r="C13" s="44">
        <f t="shared" si="1"/>
        <v>30000</v>
      </c>
      <c r="D13" s="44">
        <f t="shared" si="2"/>
        <v>34500</v>
      </c>
      <c r="E13" s="44">
        <f t="shared" si="3"/>
        <v>250</v>
      </c>
      <c r="F13" s="230"/>
      <c r="G13" s="231">
        <v>1</v>
      </c>
      <c r="H13" s="40">
        <v>4500</v>
      </c>
      <c r="I13" s="42">
        <v>30000</v>
      </c>
      <c r="J13" s="42">
        <v>250</v>
      </c>
      <c r="K13" s="19" t="s">
        <v>222</v>
      </c>
      <c r="L13" s="43"/>
      <c r="M13" s="20"/>
      <c r="N13" s="20"/>
      <c r="O13" s="20"/>
      <c r="P13" s="20"/>
      <c r="Q13" s="20"/>
      <c r="R13" s="20"/>
      <c r="S13" s="20"/>
      <c r="T13" s="20"/>
      <c r="U13" s="20"/>
      <c r="V13" s="20"/>
      <c r="W13" s="20"/>
      <c r="X13" s="20"/>
    </row>
    <row r="14" spans="1:24" s="39" customFormat="1">
      <c r="A14" s="19" t="s">
        <v>165</v>
      </c>
      <c r="B14" s="44">
        <f t="shared" si="0"/>
        <v>12499.999999999998</v>
      </c>
      <c r="C14" s="44">
        <f t="shared" si="1"/>
        <v>88000</v>
      </c>
      <c r="D14" s="44">
        <f t="shared" si="2"/>
        <v>100500</v>
      </c>
      <c r="E14" s="44">
        <f t="shared" si="3"/>
        <v>2750</v>
      </c>
      <c r="F14" s="230"/>
      <c r="G14" s="231">
        <v>11</v>
      </c>
      <c r="H14" s="40">
        <f>12500/G14</f>
        <v>1136.3636363636363</v>
      </c>
      <c r="I14" s="42">
        <v>8000</v>
      </c>
      <c r="J14" s="42">
        <v>250</v>
      </c>
      <c r="K14" s="19" t="s">
        <v>279</v>
      </c>
      <c r="L14" s="43"/>
      <c r="M14" s="20"/>
      <c r="N14" s="20"/>
      <c r="O14" s="20"/>
      <c r="P14" s="20"/>
      <c r="Q14" s="20"/>
      <c r="R14" s="20"/>
      <c r="S14" s="20"/>
      <c r="T14" s="20"/>
      <c r="U14" s="20"/>
      <c r="V14" s="20"/>
      <c r="W14" s="20"/>
      <c r="X14" s="20"/>
    </row>
    <row r="15" spans="1:24" s="39" customFormat="1">
      <c r="A15" s="16" t="str">
        <f>CONCATENATE("Subtotal ",A9)</f>
        <v>Subtotal Existing Measure Review &amp; Updates</v>
      </c>
      <c r="B15" s="233">
        <f>SUM(B10:B14)</f>
        <v>65500</v>
      </c>
      <c r="C15" s="233">
        <f>SUM(C10:C14)</f>
        <v>410000</v>
      </c>
      <c r="D15" s="233">
        <f>SUM(D10:D14)</f>
        <v>475500</v>
      </c>
      <c r="E15" s="233">
        <f>SUM(E10:E14)</f>
        <v>7500</v>
      </c>
      <c r="F15" s="234">
        <f>D15/$D$77</f>
        <v>0.32281059063136458</v>
      </c>
      <c r="G15" s="231"/>
      <c r="H15" s="40"/>
      <c r="I15" s="202"/>
      <c r="J15" s="42"/>
      <c r="K15" s="20"/>
      <c r="L15" s="41"/>
      <c r="M15" s="20"/>
      <c r="N15" s="20"/>
      <c r="O15" s="20"/>
      <c r="P15" s="20"/>
      <c r="Q15" s="20"/>
      <c r="R15" s="20"/>
      <c r="S15" s="20"/>
      <c r="T15" s="20"/>
      <c r="U15" s="20"/>
      <c r="V15" s="20"/>
      <c r="W15" s="20"/>
      <c r="X15" s="20"/>
    </row>
    <row r="16" spans="1:24" s="39" customFormat="1">
      <c r="A16" s="20"/>
      <c r="B16" s="44"/>
      <c r="C16" s="44"/>
      <c r="D16" s="44"/>
      <c r="E16" s="235"/>
      <c r="F16" s="231"/>
      <c r="G16" s="231"/>
      <c r="H16" s="231"/>
      <c r="I16" s="203"/>
      <c r="J16" s="42"/>
      <c r="K16" s="20"/>
      <c r="L16" s="41"/>
      <c r="M16" s="20"/>
      <c r="N16" s="20"/>
      <c r="O16" s="20"/>
      <c r="P16" s="20"/>
      <c r="Q16" s="20"/>
      <c r="R16" s="20"/>
      <c r="S16" s="20"/>
      <c r="T16" s="20"/>
      <c r="U16" s="20"/>
      <c r="V16" s="20"/>
      <c r="W16" s="20"/>
      <c r="X16" s="20"/>
    </row>
    <row r="17" spans="1:24" s="39" customFormat="1">
      <c r="A17" s="20"/>
      <c r="B17" s="44"/>
      <c r="C17" s="44"/>
      <c r="D17" s="44"/>
      <c r="E17" s="235"/>
      <c r="F17" s="231"/>
      <c r="G17" s="231"/>
      <c r="H17" s="231"/>
      <c r="I17" s="42"/>
      <c r="J17" s="42"/>
      <c r="K17" s="20"/>
      <c r="L17" s="41"/>
      <c r="M17" s="20"/>
      <c r="N17" s="20"/>
      <c r="O17" s="20"/>
      <c r="P17" s="20"/>
      <c r="Q17" s="20"/>
      <c r="R17" s="20"/>
      <c r="S17" s="20"/>
      <c r="T17" s="20"/>
      <c r="U17" s="20"/>
      <c r="V17" s="20"/>
      <c r="W17" s="20"/>
      <c r="X17" s="20"/>
    </row>
    <row r="18" spans="1:24" s="39" customFormat="1">
      <c r="A18" s="16" t="s">
        <v>69</v>
      </c>
      <c r="B18" s="44"/>
      <c r="C18" s="44"/>
      <c r="D18" s="44"/>
      <c r="E18" s="235"/>
      <c r="F18" s="231"/>
      <c r="G18" s="231"/>
      <c r="H18" s="40"/>
      <c r="I18" s="42"/>
      <c r="J18" s="42"/>
      <c r="K18" s="20"/>
      <c r="L18" s="41"/>
      <c r="M18" s="20"/>
      <c r="N18" s="20"/>
      <c r="O18" s="20"/>
      <c r="P18" s="20"/>
      <c r="Q18" s="20"/>
      <c r="R18" s="20"/>
      <c r="S18" s="20"/>
      <c r="T18" s="20"/>
      <c r="U18" s="20"/>
      <c r="V18" s="20"/>
      <c r="W18" s="20"/>
      <c r="X18" s="20"/>
    </row>
    <row r="19" spans="1:24" s="39" customFormat="1">
      <c r="A19" s="19" t="s">
        <v>169</v>
      </c>
      <c r="B19" s="44">
        <f t="shared" ref="B19:B20" si="7">G19*H19</f>
        <v>40000</v>
      </c>
      <c r="C19" s="44">
        <f t="shared" ref="C19:C20" si="8">G19*I19</f>
        <v>8000</v>
      </c>
      <c r="D19" s="44">
        <f t="shared" ref="D19:D20" si="9">SUM(B19:C19)</f>
        <v>48000</v>
      </c>
      <c r="E19" s="44">
        <f t="shared" ref="E19:E20" si="10">G19*J19</f>
        <v>500</v>
      </c>
      <c r="F19" s="230"/>
      <c r="G19" s="231">
        <v>2</v>
      </c>
      <c r="H19" s="40">
        <v>20000</v>
      </c>
      <c r="I19" s="42">
        <v>4000</v>
      </c>
      <c r="J19" s="42">
        <v>250</v>
      </c>
      <c r="K19" s="19" t="str">
        <f>CONCATENATE("Develop Small &amp; Rural Measures (",G19," @ $",H19/1000,"K each).  Includes potential development by staff of specialized SRR measures from Proven RTF measures.")</f>
        <v>Develop Small &amp; Rural Measures (2 @ $20K each).  Includes potential development by staff of specialized SRR measures from Proven RTF measures.</v>
      </c>
      <c r="L19" s="45"/>
      <c r="M19" s="20"/>
      <c r="N19" s="20"/>
      <c r="O19" s="20"/>
      <c r="P19" s="20"/>
      <c r="Q19" s="20"/>
      <c r="R19" s="20"/>
      <c r="S19" s="20"/>
      <c r="T19" s="20"/>
      <c r="U19" s="20"/>
      <c r="V19" s="20"/>
      <c r="W19" s="20"/>
      <c r="X19" s="20"/>
    </row>
    <row r="20" spans="1:24" s="39" customFormat="1">
      <c r="A20" s="19" t="s">
        <v>246</v>
      </c>
      <c r="B20" s="44">
        <f t="shared" si="7"/>
        <v>16000</v>
      </c>
      <c r="C20" s="44">
        <f t="shared" si="8"/>
        <v>72000</v>
      </c>
      <c r="D20" s="44">
        <f t="shared" si="9"/>
        <v>88000</v>
      </c>
      <c r="E20" s="44">
        <f t="shared" si="10"/>
        <v>2000</v>
      </c>
      <c r="F20" s="230"/>
      <c r="G20" s="231">
        <v>8</v>
      </c>
      <c r="H20" s="40">
        <v>2000</v>
      </c>
      <c r="I20" s="42">
        <v>9000</v>
      </c>
      <c r="J20" s="42">
        <v>250</v>
      </c>
      <c r="K20" s="19" t="s">
        <v>232</v>
      </c>
      <c r="L20" s="41"/>
      <c r="M20" s="20"/>
      <c r="N20" s="20"/>
      <c r="O20" s="20"/>
      <c r="P20" s="20"/>
      <c r="Q20" s="20"/>
      <c r="R20" s="20"/>
      <c r="S20" s="20"/>
      <c r="T20" s="20"/>
      <c r="U20" s="20"/>
      <c r="V20" s="20"/>
      <c r="W20" s="20"/>
      <c r="X20" s="20"/>
    </row>
    <row r="21" spans="1:24" s="39" customFormat="1">
      <c r="A21" s="19" t="s">
        <v>247</v>
      </c>
      <c r="B21" s="44">
        <f t="shared" ref="B21" si="11">G21*H21</f>
        <v>9000</v>
      </c>
      <c r="C21" s="44">
        <f t="shared" ref="C21" si="12">G21*I21</f>
        <v>60000</v>
      </c>
      <c r="D21" s="44">
        <f t="shared" ref="D21" si="13">SUM(B21:C21)</f>
        <v>69000</v>
      </c>
      <c r="E21" s="44">
        <f t="shared" ref="E21" si="14">G21*J21</f>
        <v>500</v>
      </c>
      <c r="F21" s="230"/>
      <c r="G21" s="231">
        <v>2</v>
      </c>
      <c r="H21" s="40">
        <v>4500</v>
      </c>
      <c r="I21" s="42">
        <v>30000</v>
      </c>
      <c r="J21" s="42">
        <v>250</v>
      </c>
      <c r="K21" s="19" t="s">
        <v>248</v>
      </c>
      <c r="L21" s="41"/>
      <c r="M21" s="20"/>
      <c r="N21" s="20"/>
      <c r="O21" s="20"/>
      <c r="P21" s="20"/>
      <c r="Q21" s="20"/>
      <c r="R21" s="20"/>
      <c r="S21" s="20"/>
      <c r="T21" s="20"/>
      <c r="U21" s="20"/>
      <c r="V21" s="20"/>
      <c r="W21" s="20"/>
      <c r="X21" s="20"/>
    </row>
    <row r="22" spans="1:24" s="39" customFormat="1">
      <c r="A22" s="16" t="str">
        <f>CONCATENATE("Subtotal ",A18)</f>
        <v>Subtotal New Measure Development &amp; Review of Unsolicited Proposals</v>
      </c>
      <c r="B22" s="233">
        <f>SUM(B19:B21)</f>
        <v>65000</v>
      </c>
      <c r="C22" s="233">
        <f t="shared" ref="C22:E22" si="15">SUM(C19:C21)</f>
        <v>140000</v>
      </c>
      <c r="D22" s="233">
        <f t="shared" si="15"/>
        <v>205000</v>
      </c>
      <c r="E22" s="233">
        <f t="shared" si="15"/>
        <v>3000</v>
      </c>
      <c r="F22" s="234">
        <f>D22/$D$77</f>
        <v>0.13917175831636117</v>
      </c>
      <c r="G22" s="231"/>
      <c r="H22" s="231"/>
      <c r="I22" s="20"/>
      <c r="J22" s="20"/>
      <c r="K22" s="19"/>
      <c r="L22" s="41"/>
      <c r="M22" s="20"/>
      <c r="N22" s="20"/>
      <c r="O22" s="20"/>
      <c r="P22" s="20"/>
      <c r="Q22" s="20"/>
      <c r="R22" s="20"/>
      <c r="S22" s="20"/>
      <c r="T22" s="20"/>
      <c r="U22" s="20"/>
      <c r="V22" s="20"/>
      <c r="W22" s="20"/>
      <c r="X22" s="20"/>
    </row>
    <row r="23" spans="1:24" s="39" customFormat="1">
      <c r="A23" s="16"/>
      <c r="B23" s="44"/>
      <c r="C23" s="44"/>
      <c r="D23" s="44"/>
      <c r="E23" s="235"/>
      <c r="F23" s="231"/>
      <c r="G23" s="231"/>
      <c r="H23" s="231"/>
      <c r="I23" s="20"/>
      <c r="J23" s="20"/>
      <c r="K23" s="19"/>
      <c r="L23" s="41"/>
      <c r="M23" s="20"/>
      <c r="N23" s="20"/>
      <c r="O23" s="20"/>
      <c r="P23" s="20"/>
      <c r="Q23" s="20"/>
      <c r="R23" s="20"/>
      <c r="S23" s="20"/>
      <c r="T23" s="20"/>
      <c r="U23" s="20"/>
      <c r="V23" s="20"/>
      <c r="W23" s="20"/>
      <c r="X23" s="20"/>
    </row>
    <row r="24" spans="1:24" s="39" customFormat="1">
      <c r="A24" s="20"/>
      <c r="B24" s="44"/>
      <c r="C24" s="44"/>
      <c r="D24" s="44"/>
      <c r="E24" s="235"/>
      <c r="F24" s="231"/>
      <c r="G24" s="231"/>
      <c r="H24" s="231"/>
      <c r="I24" s="46"/>
      <c r="J24" s="46"/>
      <c r="K24" s="19"/>
      <c r="L24" s="41"/>
      <c r="M24" s="20"/>
      <c r="N24" s="20"/>
      <c r="O24" s="20"/>
      <c r="P24" s="20"/>
      <c r="Q24" s="20"/>
      <c r="R24" s="20"/>
      <c r="S24" s="20"/>
      <c r="T24" s="20"/>
      <c r="U24" s="20"/>
      <c r="V24" s="20"/>
      <c r="W24" s="20"/>
      <c r="X24" s="20"/>
    </row>
    <row r="25" spans="1:24">
      <c r="A25" s="16" t="s">
        <v>52</v>
      </c>
      <c r="B25" s="18"/>
      <c r="C25" s="18"/>
      <c r="D25" s="18"/>
      <c r="E25" s="18"/>
      <c r="F25" s="18"/>
      <c r="G25" s="18"/>
      <c r="H25" s="18"/>
      <c r="I25" s="46"/>
      <c r="J25" s="46"/>
      <c r="K25" s="19"/>
      <c r="L25" s="45"/>
      <c r="M25" s="46"/>
      <c r="N25" s="46"/>
      <c r="O25" s="46"/>
      <c r="P25" s="46"/>
      <c r="Q25" s="46"/>
      <c r="R25" s="46"/>
      <c r="S25" s="46"/>
      <c r="T25" s="46"/>
      <c r="U25" s="46"/>
      <c r="V25" s="46"/>
      <c r="W25" s="46"/>
      <c r="X25" s="46"/>
    </row>
    <row r="26" spans="1:24">
      <c r="A26" s="19" t="s">
        <v>278</v>
      </c>
      <c r="B26" s="44">
        <v>25000</v>
      </c>
      <c r="C26" s="44">
        <f t="shared" ref="C26" si="16">G26*I26</f>
        <v>5000</v>
      </c>
      <c r="D26" s="44">
        <f t="shared" ref="D26" si="17">SUM(B26:C26)</f>
        <v>30000</v>
      </c>
      <c r="E26" s="44">
        <v>500</v>
      </c>
      <c r="F26" s="18"/>
      <c r="G26" s="231">
        <v>1</v>
      </c>
      <c r="H26" s="40">
        <v>20000</v>
      </c>
      <c r="I26" s="42">
        <v>5000</v>
      </c>
      <c r="J26" s="42">
        <v>200</v>
      </c>
      <c r="K26" s="19" t="s">
        <v>223</v>
      </c>
      <c r="L26" s="45"/>
      <c r="M26" s="46"/>
      <c r="N26" s="46"/>
      <c r="O26" s="46"/>
      <c r="P26" s="46"/>
      <c r="Q26" s="46"/>
      <c r="R26" s="46"/>
      <c r="S26" s="46"/>
      <c r="T26" s="46"/>
      <c r="U26" s="46"/>
      <c r="V26" s="46"/>
      <c r="W26" s="46"/>
      <c r="X26" s="46"/>
    </row>
    <row r="27" spans="1:24">
      <c r="A27" s="19" t="s">
        <v>230</v>
      </c>
      <c r="B27" s="44">
        <f>G27*H27</f>
        <v>0</v>
      </c>
      <c r="C27" s="44">
        <v>4000</v>
      </c>
      <c r="D27" s="44">
        <f t="shared" ref="D27" si="18">SUM(B27:C27)</f>
        <v>4000</v>
      </c>
      <c r="E27" s="44">
        <f t="shared" ref="E27" si="19">G27*J27</f>
        <v>200</v>
      </c>
      <c r="F27" s="232"/>
      <c r="G27" s="231">
        <v>1</v>
      </c>
      <c r="H27" s="40">
        <v>0</v>
      </c>
      <c r="I27" s="42">
        <v>2500</v>
      </c>
      <c r="J27" s="42">
        <v>200</v>
      </c>
      <c r="K27" s="19" t="s">
        <v>294</v>
      </c>
      <c r="L27" s="45"/>
      <c r="M27" s="46"/>
      <c r="N27" s="46"/>
      <c r="O27" s="46"/>
      <c r="P27" s="46"/>
      <c r="Q27" s="46"/>
      <c r="R27" s="46"/>
      <c r="S27" s="46"/>
      <c r="T27" s="46"/>
      <c r="U27" s="46"/>
      <c r="V27" s="46"/>
      <c r="W27" s="46"/>
      <c r="X27" s="46"/>
    </row>
    <row r="28" spans="1:24">
      <c r="A28" s="19" t="s">
        <v>265</v>
      </c>
      <c r="B28" s="44">
        <v>15000</v>
      </c>
      <c r="C28" s="44">
        <v>10000</v>
      </c>
      <c r="D28" s="44">
        <f t="shared" ref="D28" si="20">SUM(B28:C28)</f>
        <v>25000</v>
      </c>
      <c r="E28" s="44">
        <v>400</v>
      </c>
      <c r="F28" s="18"/>
      <c r="G28" s="231">
        <v>1</v>
      </c>
      <c r="H28" s="40">
        <v>10000</v>
      </c>
      <c r="I28" s="42">
        <v>5000</v>
      </c>
      <c r="J28" s="42">
        <v>200</v>
      </c>
      <c r="K28" s="19" t="s">
        <v>280</v>
      </c>
      <c r="L28" s="45"/>
      <c r="M28" s="46"/>
      <c r="N28" s="46"/>
      <c r="O28" s="46"/>
      <c r="P28" s="46"/>
      <c r="Q28" s="46"/>
      <c r="R28" s="46"/>
      <c r="S28" s="46"/>
      <c r="T28" s="46"/>
      <c r="U28" s="46"/>
      <c r="V28" s="46"/>
      <c r="W28" s="46"/>
      <c r="X28" s="46"/>
    </row>
    <row r="29" spans="1:24">
      <c r="A29" s="16" t="str">
        <f>CONCATENATE("Subtotal ",A25)</f>
        <v>Subtotal Standardization of Technical Analysis</v>
      </c>
      <c r="B29" s="233">
        <f>SUM(B26:B28)</f>
        <v>40000</v>
      </c>
      <c r="C29" s="233">
        <f t="shared" ref="C29:D29" si="21">SUM(C26:C28)</f>
        <v>19000</v>
      </c>
      <c r="D29" s="233">
        <f t="shared" si="21"/>
        <v>59000</v>
      </c>
      <c r="E29" s="233">
        <f>SUM(E26:E28)</f>
        <v>1100</v>
      </c>
      <c r="F29" s="234">
        <f>D29/$D$77</f>
        <v>4.005431093007468E-2</v>
      </c>
      <c r="G29" s="18"/>
      <c r="H29" s="18"/>
      <c r="I29" s="46"/>
      <c r="J29" s="46"/>
      <c r="K29" s="19"/>
      <c r="L29" s="45"/>
      <c r="M29" s="46"/>
      <c r="N29" s="46"/>
      <c r="O29" s="46"/>
      <c r="P29" s="46"/>
      <c r="Q29" s="46"/>
      <c r="R29" s="46"/>
      <c r="S29" s="46"/>
      <c r="T29" s="46"/>
      <c r="U29" s="46"/>
      <c r="V29" s="46"/>
      <c r="W29" s="46"/>
      <c r="X29" s="46"/>
    </row>
    <row r="30" spans="1:24">
      <c r="B30" s="236"/>
      <c r="C30" s="236"/>
      <c r="D30" s="236"/>
      <c r="E30" s="237"/>
      <c r="F30" s="238"/>
      <c r="G30" s="238"/>
      <c r="H30" s="238"/>
      <c r="K30" s="26"/>
    </row>
    <row r="31" spans="1:24">
      <c r="A31" s="22" t="s">
        <v>68</v>
      </c>
      <c r="B31" s="50"/>
      <c r="C31" s="50"/>
      <c r="D31" s="50"/>
      <c r="E31" s="24"/>
      <c r="F31" s="24"/>
      <c r="G31" s="24"/>
      <c r="H31" s="24"/>
      <c r="I31" s="25"/>
      <c r="J31" s="25"/>
      <c r="K31" s="23"/>
      <c r="L31" s="48"/>
      <c r="M31" s="25"/>
      <c r="N31" s="25"/>
      <c r="O31" s="25"/>
      <c r="P31" s="25"/>
      <c r="Q31" s="25"/>
      <c r="R31" s="25"/>
      <c r="S31" s="25"/>
      <c r="T31" s="25"/>
      <c r="U31" s="25"/>
      <c r="V31" s="25"/>
      <c r="W31" s="25"/>
      <c r="X31" s="25"/>
    </row>
    <row r="32" spans="1:24">
      <c r="A32" s="23" t="s">
        <v>224</v>
      </c>
      <c r="B32" s="50">
        <v>25000</v>
      </c>
      <c r="C32" s="50">
        <v>25000</v>
      </c>
      <c r="D32" s="50">
        <f t="shared" ref="D32" si="22">SUM(B32:C32)</f>
        <v>50000</v>
      </c>
      <c r="E32" s="50">
        <v>15000</v>
      </c>
      <c r="F32" s="24"/>
      <c r="G32" s="24"/>
      <c r="H32" s="239"/>
      <c r="I32" s="49"/>
      <c r="J32" s="49"/>
      <c r="K32" s="23" t="s">
        <v>225</v>
      </c>
      <c r="L32" s="48"/>
      <c r="M32" s="25"/>
      <c r="N32" s="25"/>
      <c r="O32" s="25"/>
      <c r="P32" s="25"/>
      <c r="Q32" s="25"/>
      <c r="R32" s="25"/>
      <c r="S32" s="25"/>
      <c r="T32" s="25"/>
      <c r="U32" s="25"/>
      <c r="V32" s="25"/>
      <c r="W32" s="25"/>
      <c r="X32" s="25"/>
    </row>
    <row r="33" spans="1:24">
      <c r="A33" s="24" t="s">
        <v>258</v>
      </c>
      <c r="B33" s="50">
        <v>25000</v>
      </c>
      <c r="C33" s="50">
        <v>10000</v>
      </c>
      <c r="D33" s="50">
        <f t="shared" ref="D33:D34" si="23">SUM(B33:C33)</f>
        <v>35000</v>
      </c>
      <c r="E33" s="50">
        <v>5000</v>
      </c>
      <c r="F33" s="24"/>
      <c r="G33" s="24"/>
      <c r="H33" s="239"/>
      <c r="I33" s="25"/>
      <c r="J33" s="25"/>
      <c r="K33" s="23" t="s">
        <v>256</v>
      </c>
      <c r="L33" s="48"/>
      <c r="M33" s="25"/>
      <c r="N33" s="25"/>
      <c r="O33" s="25"/>
      <c r="P33" s="25"/>
      <c r="Q33" s="25"/>
      <c r="R33" s="25"/>
      <c r="S33" s="25"/>
      <c r="T33" s="25"/>
      <c r="U33" s="25"/>
      <c r="V33" s="25"/>
      <c r="W33" s="25"/>
      <c r="X33" s="25"/>
    </row>
    <row r="34" spans="1:24">
      <c r="A34" s="24" t="s">
        <v>276</v>
      </c>
      <c r="B34" s="50">
        <v>0</v>
      </c>
      <c r="C34" s="50">
        <v>55000</v>
      </c>
      <c r="D34" s="50">
        <f t="shared" si="23"/>
        <v>55000</v>
      </c>
      <c r="E34" s="50">
        <v>5000</v>
      </c>
      <c r="F34" s="24"/>
      <c r="G34" s="24"/>
      <c r="H34" s="239"/>
      <c r="I34" s="25"/>
      <c r="J34" s="25"/>
      <c r="K34" s="23" t="s">
        <v>277</v>
      </c>
      <c r="L34" s="48"/>
      <c r="M34" s="25"/>
      <c r="N34" s="25"/>
      <c r="O34" s="25"/>
      <c r="P34" s="25"/>
      <c r="Q34" s="25"/>
      <c r="R34" s="25"/>
      <c r="S34" s="25"/>
      <c r="T34" s="25"/>
      <c r="U34" s="25"/>
      <c r="V34" s="25"/>
      <c r="W34" s="25"/>
      <c r="X34" s="25"/>
    </row>
    <row r="35" spans="1:24">
      <c r="A35" s="24" t="s">
        <v>228</v>
      </c>
      <c r="B35" s="50">
        <v>0</v>
      </c>
      <c r="C35" s="50">
        <v>10000</v>
      </c>
      <c r="D35" s="50">
        <f t="shared" ref="D35" si="24">SUM(B35:C35)</f>
        <v>10000</v>
      </c>
      <c r="E35" s="50">
        <v>0</v>
      </c>
      <c r="F35" s="24"/>
      <c r="G35" s="24"/>
      <c r="H35" s="239"/>
      <c r="I35" s="25"/>
      <c r="J35" s="25"/>
      <c r="K35" s="23" t="s">
        <v>229</v>
      </c>
      <c r="L35" s="48"/>
      <c r="M35" s="25"/>
      <c r="N35" s="25"/>
      <c r="O35" s="25"/>
      <c r="P35" s="25"/>
      <c r="Q35" s="25"/>
      <c r="R35" s="25"/>
      <c r="S35" s="25"/>
      <c r="T35" s="25"/>
      <c r="U35" s="25"/>
      <c r="V35" s="25"/>
      <c r="W35" s="25"/>
      <c r="X35" s="25"/>
    </row>
    <row r="36" spans="1:24">
      <c r="A36" s="23" t="s">
        <v>167</v>
      </c>
      <c r="B36" s="50">
        <v>15000</v>
      </c>
      <c r="C36" s="50">
        <v>20000</v>
      </c>
      <c r="D36" s="50">
        <f t="shared" ref="D36" si="25">SUM(B36:C36)</f>
        <v>35000</v>
      </c>
      <c r="E36" s="50">
        <v>0</v>
      </c>
      <c r="F36" s="24"/>
      <c r="G36" s="24"/>
      <c r="H36" s="239"/>
      <c r="I36" s="25"/>
      <c r="J36" s="25"/>
      <c r="K36" s="23" t="s">
        <v>226</v>
      </c>
      <c r="L36" s="48"/>
      <c r="M36" s="25"/>
      <c r="N36" s="25"/>
      <c r="O36" s="25"/>
      <c r="P36" s="25"/>
      <c r="Q36" s="25"/>
      <c r="R36" s="25"/>
      <c r="S36" s="25"/>
      <c r="T36" s="25"/>
      <c r="U36" s="25"/>
      <c r="V36" s="25"/>
      <c r="W36" s="25"/>
      <c r="X36" s="25"/>
    </row>
    <row r="37" spans="1:24">
      <c r="A37" s="22" t="str">
        <f>CONCATENATE("Subtotal ",A31)</f>
        <v>Subtotal Tool Development</v>
      </c>
      <c r="B37" s="240">
        <f>SUM(B32:B36)</f>
        <v>65000</v>
      </c>
      <c r="C37" s="240">
        <f>SUM(C32:C36)</f>
        <v>120000</v>
      </c>
      <c r="D37" s="240">
        <f>SUM(D32:D36)</f>
        <v>185000</v>
      </c>
      <c r="E37" s="240">
        <f>SUM(E32:E36)</f>
        <v>25000</v>
      </c>
      <c r="F37" s="241">
        <f>D37/$D$77</f>
        <v>0.12559402579769177</v>
      </c>
      <c r="G37" s="24"/>
      <c r="H37" s="24"/>
      <c r="I37" s="25"/>
      <c r="J37" s="25"/>
      <c r="K37" s="23"/>
      <c r="L37" s="48"/>
      <c r="M37" s="25"/>
      <c r="N37" s="25"/>
      <c r="O37" s="25"/>
      <c r="P37" s="25"/>
      <c r="Q37" s="25"/>
      <c r="R37" s="25"/>
      <c r="S37" s="25"/>
      <c r="T37" s="25"/>
      <c r="U37" s="25"/>
      <c r="V37" s="25"/>
      <c r="W37" s="25"/>
      <c r="X37" s="25"/>
    </row>
    <row r="38" spans="1:24">
      <c r="A38" s="23"/>
      <c r="B38" s="50"/>
      <c r="C38" s="50"/>
      <c r="D38" s="50"/>
      <c r="E38" s="24"/>
      <c r="F38" s="24"/>
      <c r="G38" s="24"/>
      <c r="H38" s="24"/>
      <c r="I38" s="25"/>
      <c r="J38" s="25"/>
      <c r="K38" s="23"/>
      <c r="L38" s="48"/>
      <c r="M38" s="25"/>
      <c r="N38" s="25"/>
      <c r="O38" s="25"/>
      <c r="P38" s="25"/>
      <c r="Q38" s="25"/>
      <c r="R38" s="25"/>
      <c r="S38" s="25"/>
      <c r="T38" s="25"/>
      <c r="U38" s="25"/>
      <c r="V38" s="25"/>
      <c r="W38" s="25"/>
      <c r="X38" s="25"/>
    </row>
    <row r="39" spans="1:24">
      <c r="A39" s="23"/>
      <c r="B39" s="50"/>
      <c r="C39" s="50"/>
      <c r="D39" s="50"/>
      <c r="E39" s="24"/>
      <c r="F39" s="24"/>
      <c r="G39" s="24"/>
      <c r="H39" s="24"/>
      <c r="I39" s="25"/>
      <c r="J39" s="25"/>
      <c r="K39" s="23"/>
      <c r="L39" s="48"/>
      <c r="M39" s="25"/>
      <c r="N39" s="25"/>
      <c r="O39" s="25"/>
      <c r="P39" s="25"/>
      <c r="Q39" s="25"/>
      <c r="R39" s="25"/>
      <c r="S39" s="25"/>
      <c r="T39" s="25"/>
      <c r="U39" s="25"/>
      <c r="V39" s="25"/>
      <c r="W39" s="25"/>
      <c r="X39" s="25"/>
    </row>
    <row r="40" spans="1:24">
      <c r="A40" s="22" t="s">
        <v>30</v>
      </c>
      <c r="B40" s="50"/>
      <c r="C40" s="50"/>
      <c r="D40" s="50"/>
      <c r="E40" s="24"/>
      <c r="F40" s="24"/>
      <c r="G40" s="24"/>
      <c r="H40" s="24"/>
      <c r="I40" s="25"/>
      <c r="J40" s="25"/>
      <c r="K40" s="23"/>
      <c r="L40" s="48"/>
      <c r="M40" s="25"/>
      <c r="N40" s="25"/>
      <c r="O40" s="25"/>
      <c r="P40" s="25"/>
      <c r="Q40" s="25"/>
      <c r="R40" s="25"/>
      <c r="S40" s="25"/>
      <c r="T40" s="25"/>
      <c r="U40" s="25"/>
      <c r="V40" s="25"/>
      <c r="W40" s="25"/>
      <c r="X40" s="25"/>
    </row>
    <row r="41" spans="1:24">
      <c r="A41" s="23" t="s">
        <v>162</v>
      </c>
      <c r="B41" s="50">
        <v>10000</v>
      </c>
      <c r="C41" s="50">
        <v>5000</v>
      </c>
      <c r="D41" s="50">
        <f t="shared" ref="D41:D44" si="26">SUM(B41:C41)</f>
        <v>15000</v>
      </c>
      <c r="E41" s="51">
        <v>10000</v>
      </c>
      <c r="F41" s="24"/>
      <c r="G41" s="24"/>
      <c r="H41" s="24"/>
      <c r="I41" s="25"/>
      <c r="J41" s="25"/>
      <c r="K41" s="23" t="s">
        <v>295</v>
      </c>
      <c r="L41" s="48"/>
      <c r="M41" s="25"/>
      <c r="N41" s="25"/>
      <c r="O41" s="25"/>
      <c r="P41" s="25"/>
      <c r="Q41" s="25"/>
      <c r="R41" s="25"/>
      <c r="S41" s="25"/>
      <c r="T41" s="25"/>
      <c r="U41" s="25"/>
      <c r="V41" s="25"/>
      <c r="W41" s="25"/>
      <c r="X41" s="25"/>
    </row>
    <row r="42" spans="1:24">
      <c r="A42" s="23" t="s">
        <v>219</v>
      </c>
      <c r="B42" s="50">
        <v>50000</v>
      </c>
      <c r="C42" s="50">
        <v>20000</v>
      </c>
      <c r="D42" s="50">
        <f t="shared" si="26"/>
        <v>70000</v>
      </c>
      <c r="E42" s="51">
        <v>10000</v>
      </c>
      <c r="F42" s="24"/>
      <c r="G42" s="24"/>
      <c r="H42" s="24"/>
      <c r="I42" s="25"/>
      <c r="J42" s="25"/>
      <c r="K42" s="23" t="s">
        <v>244</v>
      </c>
      <c r="L42" s="48"/>
      <c r="M42" s="25"/>
      <c r="N42" s="25"/>
      <c r="O42" s="25"/>
      <c r="P42" s="25"/>
      <c r="Q42" s="25"/>
      <c r="R42" s="25"/>
      <c r="S42" s="25"/>
      <c r="T42" s="25"/>
      <c r="U42" s="25"/>
      <c r="V42" s="25"/>
      <c r="W42" s="25"/>
      <c r="X42" s="25"/>
    </row>
    <row r="43" spans="1:24">
      <c r="A43" s="23" t="s">
        <v>233</v>
      </c>
      <c r="B43" s="50">
        <v>0</v>
      </c>
      <c r="C43" s="50">
        <v>5000</v>
      </c>
      <c r="D43" s="50">
        <f t="shared" si="26"/>
        <v>5000</v>
      </c>
      <c r="E43" s="51">
        <f t="shared" ref="E43" si="27">1/2*C43</f>
        <v>2500</v>
      </c>
      <c r="F43" s="24"/>
      <c r="G43" s="24"/>
      <c r="H43" s="24"/>
      <c r="I43" s="25"/>
      <c r="J43" s="25"/>
      <c r="K43" s="23" t="s">
        <v>215</v>
      </c>
      <c r="L43" s="48"/>
      <c r="M43" s="25"/>
      <c r="N43" s="25"/>
      <c r="O43" s="25"/>
      <c r="P43" s="25"/>
      <c r="Q43" s="25"/>
      <c r="R43" s="25"/>
      <c r="S43" s="25"/>
      <c r="T43" s="25"/>
      <c r="U43" s="25"/>
      <c r="V43" s="25"/>
      <c r="W43" s="25"/>
      <c r="X43" s="25"/>
    </row>
    <row r="44" spans="1:24">
      <c r="A44" s="24" t="s">
        <v>168</v>
      </c>
      <c r="B44" s="50">
        <v>0</v>
      </c>
      <c r="C44" s="50">
        <v>30000</v>
      </c>
      <c r="D44" s="50">
        <f t="shared" si="26"/>
        <v>30000</v>
      </c>
      <c r="E44" s="51">
        <v>20000</v>
      </c>
      <c r="F44" s="24"/>
      <c r="G44" s="24"/>
      <c r="H44" s="24"/>
      <c r="I44" s="25"/>
      <c r="J44" s="25"/>
      <c r="K44" s="23" t="s">
        <v>185</v>
      </c>
      <c r="L44" s="48"/>
      <c r="M44" s="25"/>
      <c r="N44" s="25"/>
      <c r="O44" s="25"/>
      <c r="P44" s="25"/>
      <c r="Q44" s="25"/>
      <c r="R44" s="25"/>
      <c r="S44" s="25"/>
      <c r="T44" s="25"/>
      <c r="U44" s="25"/>
      <c r="V44" s="25"/>
      <c r="W44" s="25"/>
      <c r="X44" s="25"/>
    </row>
    <row r="45" spans="1:24">
      <c r="A45" s="22" t="str">
        <f>CONCATENATE("Subtotal ",A40)</f>
        <v>Subtotal Research Projects &amp; Data Development</v>
      </c>
      <c r="B45" s="240">
        <f>SUM(B41:B44)</f>
        <v>60000</v>
      </c>
      <c r="C45" s="240">
        <f>SUM(C41:C44)</f>
        <v>60000</v>
      </c>
      <c r="D45" s="240">
        <f>SUM(D41:D44)</f>
        <v>120000</v>
      </c>
      <c r="E45" s="240">
        <f>SUM(E41:E44)</f>
        <v>42500</v>
      </c>
      <c r="F45" s="241">
        <f>D45/$D$77</f>
        <v>8.1466395112016296E-2</v>
      </c>
      <c r="G45" s="24"/>
      <c r="H45" s="24"/>
      <c r="I45" s="25"/>
      <c r="J45" s="25"/>
      <c r="K45" s="23"/>
      <c r="L45" s="48"/>
      <c r="M45" s="25"/>
      <c r="N45" s="25"/>
      <c r="O45" s="25"/>
      <c r="P45" s="25"/>
      <c r="Q45" s="25"/>
      <c r="R45" s="25"/>
      <c r="S45" s="25"/>
      <c r="T45" s="25"/>
      <c r="U45" s="25"/>
      <c r="V45" s="25"/>
      <c r="W45" s="25"/>
      <c r="X45" s="25"/>
    </row>
    <row r="46" spans="1:24">
      <c r="A46" s="25"/>
      <c r="B46" s="50"/>
      <c r="C46" s="50"/>
      <c r="D46" s="50"/>
      <c r="E46" s="24"/>
      <c r="F46" s="24"/>
      <c r="G46" s="24"/>
      <c r="H46" s="24"/>
      <c r="I46" s="25"/>
      <c r="J46" s="25"/>
      <c r="K46" s="23"/>
      <c r="L46" s="48"/>
      <c r="M46" s="25"/>
      <c r="N46" s="25"/>
      <c r="O46" s="25"/>
      <c r="P46" s="25"/>
      <c r="Q46" s="25"/>
      <c r="R46" s="25"/>
      <c r="S46" s="25"/>
      <c r="T46" s="25"/>
      <c r="U46" s="25"/>
      <c r="V46" s="25"/>
      <c r="W46" s="25"/>
      <c r="X46" s="25"/>
    </row>
    <row r="47" spans="1:24">
      <c r="A47" s="23"/>
      <c r="B47" s="50"/>
      <c r="C47" s="50"/>
      <c r="D47" s="50"/>
      <c r="E47" s="24"/>
      <c r="F47" s="24"/>
      <c r="G47" s="24"/>
      <c r="H47" s="24"/>
      <c r="I47" s="25"/>
      <c r="J47" s="25"/>
      <c r="K47" s="23"/>
      <c r="L47" s="48"/>
      <c r="M47" s="25"/>
      <c r="N47" s="25"/>
      <c r="O47" s="25"/>
      <c r="P47" s="25"/>
      <c r="Q47" s="25"/>
      <c r="R47" s="25"/>
      <c r="S47" s="25"/>
      <c r="T47" s="25"/>
      <c r="U47" s="25"/>
      <c r="V47" s="25"/>
      <c r="W47" s="25"/>
      <c r="X47" s="25"/>
    </row>
    <row r="48" spans="1:24">
      <c r="A48" s="22" t="s">
        <v>74</v>
      </c>
      <c r="B48" s="50"/>
      <c r="C48" s="50"/>
      <c r="D48" s="50"/>
      <c r="E48" s="24"/>
      <c r="F48" s="24"/>
      <c r="G48" s="24"/>
      <c r="H48" s="24"/>
      <c r="I48" s="25"/>
      <c r="J48" s="25"/>
      <c r="K48" s="23"/>
      <c r="L48" s="48"/>
      <c r="M48" s="25"/>
      <c r="N48" s="25"/>
      <c r="O48" s="25"/>
      <c r="P48" s="25"/>
      <c r="Q48" s="25"/>
      <c r="R48" s="25"/>
      <c r="S48" s="25"/>
      <c r="T48" s="25"/>
      <c r="U48" s="25"/>
      <c r="V48" s="25"/>
      <c r="W48" s="25"/>
      <c r="X48" s="25"/>
    </row>
    <row r="49" spans="1:24">
      <c r="A49" s="23" t="s">
        <v>142</v>
      </c>
      <c r="B49" s="50">
        <v>12500</v>
      </c>
      <c r="C49" s="50">
        <v>0</v>
      </c>
      <c r="D49" s="50">
        <f t="shared" ref="D49:D50" si="28">SUM(B49:C49)</f>
        <v>12500</v>
      </c>
      <c r="E49" s="50">
        <v>2000</v>
      </c>
      <c r="F49" s="24"/>
      <c r="G49" s="24"/>
      <c r="H49" s="24"/>
      <c r="I49" s="52"/>
      <c r="J49" s="52"/>
      <c r="K49" s="23" t="s">
        <v>257</v>
      </c>
      <c r="L49" s="48"/>
      <c r="M49" s="25"/>
      <c r="N49" s="25"/>
      <c r="O49" s="25"/>
      <c r="P49" s="25"/>
      <c r="Q49" s="25"/>
      <c r="R49" s="25"/>
      <c r="S49" s="25"/>
      <c r="T49" s="25"/>
      <c r="U49" s="25"/>
      <c r="V49" s="25"/>
      <c r="W49" s="25"/>
      <c r="X49" s="25"/>
    </row>
    <row r="50" spans="1:24">
      <c r="A50" s="23" t="s">
        <v>0</v>
      </c>
      <c r="B50" s="50">
        <v>0</v>
      </c>
      <c r="C50" s="50">
        <f>40*150</f>
        <v>6000</v>
      </c>
      <c r="D50" s="50">
        <f t="shared" si="28"/>
        <v>6000</v>
      </c>
      <c r="E50" s="50">
        <v>4000</v>
      </c>
      <c r="F50" s="24"/>
      <c r="G50" s="24"/>
      <c r="H50" s="24"/>
      <c r="I50" s="25"/>
      <c r="J50" s="25"/>
      <c r="K50" s="23" t="s">
        <v>171</v>
      </c>
      <c r="L50" s="48"/>
      <c r="M50" s="25"/>
      <c r="N50" s="25"/>
      <c r="O50" s="25"/>
      <c r="P50" s="25"/>
      <c r="Q50" s="25"/>
      <c r="R50" s="25"/>
      <c r="S50" s="25"/>
      <c r="T50" s="25"/>
      <c r="U50" s="25"/>
      <c r="V50" s="25"/>
      <c r="W50" s="25"/>
      <c r="X50" s="25"/>
    </row>
    <row r="51" spans="1:24">
      <c r="A51" s="22" t="str">
        <f>CONCATENATE("Subtotal ",A48)</f>
        <v>Subtotal Regional Coordination</v>
      </c>
      <c r="B51" s="240">
        <f>SUM(B49:B50)</f>
        <v>12500</v>
      </c>
      <c r="C51" s="240">
        <f>SUM(C49:C50)</f>
        <v>6000</v>
      </c>
      <c r="D51" s="240">
        <f>SUM(D49:D50)</f>
        <v>18500</v>
      </c>
      <c r="E51" s="240">
        <f>SUM(E49:E50)</f>
        <v>6000</v>
      </c>
      <c r="F51" s="241">
        <f>D51/$D$77</f>
        <v>1.2559402579769178E-2</v>
      </c>
      <c r="G51" s="24"/>
      <c r="H51" s="24"/>
      <c r="I51" s="25"/>
      <c r="J51" s="25"/>
      <c r="K51" s="23"/>
      <c r="L51" s="48"/>
      <c r="M51" s="25"/>
      <c r="N51" s="25"/>
      <c r="O51" s="25"/>
      <c r="P51" s="25"/>
      <c r="Q51" s="25"/>
      <c r="R51" s="25"/>
      <c r="S51" s="25"/>
      <c r="T51" s="25"/>
      <c r="U51" s="25"/>
      <c r="V51" s="25"/>
      <c r="W51" s="25"/>
      <c r="X51" s="25"/>
    </row>
    <row r="52" spans="1:24">
      <c r="A52" s="25"/>
      <c r="B52" s="50"/>
      <c r="C52" s="50"/>
      <c r="D52" s="50"/>
      <c r="E52" s="24"/>
      <c r="F52" s="24"/>
      <c r="G52" s="24"/>
      <c r="H52" s="24"/>
      <c r="I52" s="25"/>
      <c r="J52" s="25"/>
      <c r="K52" s="23"/>
      <c r="L52" s="48"/>
      <c r="M52" s="25"/>
      <c r="N52" s="25"/>
      <c r="O52" s="25"/>
      <c r="P52" s="25"/>
      <c r="Q52" s="25"/>
      <c r="R52" s="25"/>
      <c r="S52" s="25"/>
      <c r="T52" s="25"/>
      <c r="U52" s="25"/>
      <c r="V52" s="25"/>
      <c r="W52" s="25"/>
      <c r="X52" s="25"/>
    </row>
    <row r="53" spans="1:24">
      <c r="A53" s="26"/>
      <c r="B53" s="236"/>
      <c r="C53" s="236"/>
      <c r="D53" s="236"/>
      <c r="E53" s="238"/>
      <c r="F53" s="238"/>
      <c r="G53" s="238"/>
      <c r="H53" s="238"/>
      <c r="K53" s="26"/>
    </row>
    <row r="54" spans="1:24">
      <c r="A54" s="27" t="s">
        <v>50</v>
      </c>
      <c r="B54" s="242"/>
      <c r="C54" s="242"/>
      <c r="D54" s="242"/>
      <c r="E54" s="243"/>
      <c r="F54" s="243"/>
      <c r="G54" s="243"/>
      <c r="H54" s="243"/>
      <c r="I54" s="29"/>
      <c r="J54" s="29"/>
      <c r="K54" s="28"/>
      <c r="L54" s="53"/>
      <c r="M54" s="29"/>
      <c r="N54" s="29"/>
      <c r="O54" s="29"/>
      <c r="P54" s="29"/>
      <c r="Q54" s="29"/>
      <c r="R54" s="29"/>
      <c r="S54" s="29"/>
      <c r="T54" s="29"/>
      <c r="U54" s="29"/>
      <c r="V54" s="29"/>
      <c r="W54" s="29"/>
      <c r="X54" s="29"/>
    </row>
    <row r="55" spans="1:24">
      <c r="A55" s="28" t="s">
        <v>241</v>
      </c>
      <c r="B55" s="242">
        <v>0</v>
      </c>
      <c r="C55" s="242">
        <v>10000</v>
      </c>
      <c r="D55" s="242">
        <f t="shared" ref="D55:D59" si="29">SUM(B55:C55)</f>
        <v>10000</v>
      </c>
      <c r="E55" s="242">
        <v>10000</v>
      </c>
      <c r="F55" s="243"/>
      <c r="G55" s="243"/>
      <c r="H55" s="243"/>
      <c r="I55" s="29"/>
      <c r="J55" s="29"/>
      <c r="K55" s="28" t="s">
        <v>240</v>
      </c>
      <c r="L55" s="53"/>
      <c r="M55" s="29"/>
      <c r="N55" s="29"/>
      <c r="O55" s="29"/>
      <c r="P55" s="29"/>
      <c r="Q55" s="29"/>
      <c r="R55" s="29"/>
      <c r="S55" s="29"/>
      <c r="T55" s="29"/>
      <c r="U55" s="29"/>
      <c r="V55" s="29"/>
      <c r="W55" s="29"/>
      <c r="X55" s="29"/>
    </row>
    <row r="56" spans="1:24">
      <c r="A56" s="243" t="s">
        <v>291</v>
      </c>
      <c r="B56" s="242">
        <v>5000</v>
      </c>
      <c r="C56" s="242">
        <v>25000</v>
      </c>
      <c r="D56" s="242">
        <f t="shared" si="29"/>
        <v>30000</v>
      </c>
      <c r="E56" s="242">
        <v>30000</v>
      </c>
      <c r="F56" s="243" t="s">
        <v>182</v>
      </c>
      <c r="G56" s="243"/>
      <c r="H56" s="243"/>
      <c r="I56" s="29"/>
      <c r="J56" s="29"/>
      <c r="K56" s="243" t="s">
        <v>292</v>
      </c>
      <c r="L56" s="53"/>
      <c r="M56" s="29"/>
      <c r="N56" s="29"/>
      <c r="O56" s="29"/>
      <c r="P56" s="29"/>
      <c r="Q56" s="29"/>
      <c r="R56" s="29"/>
      <c r="S56" s="29"/>
      <c r="T56" s="29"/>
      <c r="U56" s="29"/>
      <c r="V56" s="29"/>
      <c r="W56" s="29"/>
      <c r="X56" s="29"/>
    </row>
    <row r="57" spans="1:24">
      <c r="A57" s="28" t="s">
        <v>234</v>
      </c>
      <c r="B57" s="242">
        <v>20000</v>
      </c>
      <c r="C57" s="242">
        <v>5000</v>
      </c>
      <c r="D57" s="242">
        <f t="shared" si="29"/>
        <v>25000</v>
      </c>
      <c r="E57" s="242">
        <v>15000</v>
      </c>
      <c r="F57" s="243" t="s">
        <v>182</v>
      </c>
      <c r="G57" s="243"/>
      <c r="H57" s="243"/>
      <c r="I57" s="29"/>
      <c r="J57" s="29"/>
      <c r="K57" s="28" t="s">
        <v>245</v>
      </c>
      <c r="L57" s="53"/>
      <c r="M57" s="29"/>
      <c r="N57" s="29"/>
      <c r="O57" s="29"/>
      <c r="P57" s="29"/>
      <c r="Q57" s="29"/>
      <c r="R57" s="29"/>
      <c r="S57" s="29"/>
      <c r="T57" s="29"/>
      <c r="U57" s="29"/>
      <c r="V57" s="29"/>
      <c r="W57" s="29"/>
      <c r="X57" s="29"/>
    </row>
    <row r="58" spans="1:24">
      <c r="A58" s="28" t="s">
        <v>220</v>
      </c>
      <c r="B58" s="242">
        <v>0</v>
      </c>
      <c r="C58" s="242">
        <v>0</v>
      </c>
      <c r="D58" s="242">
        <f t="shared" si="29"/>
        <v>0</v>
      </c>
      <c r="E58" s="242">
        <v>10000</v>
      </c>
      <c r="F58" s="243"/>
      <c r="G58" s="243"/>
      <c r="H58" s="243"/>
      <c r="I58" s="29"/>
      <c r="J58" s="29"/>
      <c r="K58" s="28" t="s">
        <v>243</v>
      </c>
      <c r="L58" s="53"/>
      <c r="M58" s="29"/>
      <c r="N58" s="29"/>
      <c r="O58" s="29"/>
      <c r="P58" s="29"/>
      <c r="Q58" s="29"/>
      <c r="R58" s="29"/>
      <c r="S58" s="29"/>
      <c r="T58" s="29"/>
      <c r="U58" s="29"/>
      <c r="V58" s="29"/>
      <c r="W58" s="29"/>
      <c r="X58" s="29"/>
    </row>
    <row r="59" spans="1:24">
      <c r="A59" s="28" t="s">
        <v>239</v>
      </c>
      <c r="B59" s="242">
        <v>0</v>
      </c>
      <c r="C59" s="242">
        <v>0</v>
      </c>
      <c r="D59" s="242">
        <f t="shared" si="29"/>
        <v>0</v>
      </c>
      <c r="E59" s="242">
        <v>10000</v>
      </c>
      <c r="F59" s="243"/>
      <c r="G59" s="243"/>
      <c r="H59" s="243"/>
      <c r="I59" s="29"/>
      <c r="J59" s="29"/>
      <c r="K59" s="28" t="s">
        <v>242</v>
      </c>
      <c r="L59" s="53"/>
      <c r="M59" s="29"/>
      <c r="N59" s="29"/>
      <c r="O59" s="29"/>
      <c r="P59" s="29"/>
      <c r="Q59" s="29"/>
      <c r="R59" s="29"/>
      <c r="S59" s="29"/>
      <c r="T59" s="29"/>
      <c r="U59" s="29"/>
      <c r="V59" s="29"/>
      <c r="W59" s="29"/>
      <c r="X59" s="29"/>
    </row>
    <row r="60" spans="1:24">
      <c r="A60" s="27" t="str">
        <f>CONCATENATE("Subtotal ",A54)</f>
        <v xml:space="preserve">Subtotal Website, Database support, Conservation Tracking </v>
      </c>
      <c r="B60" s="244">
        <f>SUM(B55:B59)</f>
        <v>25000</v>
      </c>
      <c r="C60" s="244">
        <f>SUM(C55:C59)</f>
        <v>40000</v>
      </c>
      <c r="D60" s="244">
        <f>SUM(D55:D59)</f>
        <v>65000</v>
      </c>
      <c r="E60" s="244">
        <f>SUM(E55:E59)</f>
        <v>75000</v>
      </c>
      <c r="F60" s="245">
        <f>D60/$D$77</f>
        <v>4.412763068567549E-2</v>
      </c>
      <c r="G60" s="243"/>
      <c r="H60" s="243"/>
      <c r="I60" s="29"/>
      <c r="J60" s="29"/>
      <c r="K60" s="28"/>
      <c r="L60" s="53"/>
      <c r="M60" s="29"/>
      <c r="N60" s="29"/>
      <c r="O60" s="29"/>
      <c r="P60" s="29"/>
      <c r="Q60" s="29"/>
      <c r="R60" s="29"/>
      <c r="S60" s="29"/>
      <c r="T60" s="29"/>
      <c r="U60" s="29"/>
      <c r="V60" s="29"/>
      <c r="W60" s="29"/>
      <c r="X60" s="29"/>
    </row>
    <row r="61" spans="1:24">
      <c r="A61" s="27"/>
      <c r="B61" s="242"/>
      <c r="C61" s="242"/>
      <c r="D61" s="242"/>
      <c r="E61" s="242"/>
      <c r="F61" s="243"/>
      <c r="G61" s="243"/>
      <c r="H61" s="243"/>
      <c r="I61" s="29"/>
      <c r="J61" s="29"/>
      <c r="K61" s="28"/>
      <c r="L61" s="53"/>
      <c r="M61" s="29"/>
      <c r="N61" s="29"/>
      <c r="O61" s="29"/>
      <c r="P61" s="29"/>
      <c r="Q61" s="29"/>
      <c r="R61" s="29"/>
      <c r="S61" s="29"/>
      <c r="T61" s="29"/>
      <c r="U61" s="29"/>
      <c r="V61" s="29"/>
      <c r="W61" s="29"/>
      <c r="X61" s="29"/>
    </row>
    <row r="62" spans="1:24">
      <c r="A62" s="28"/>
      <c r="B62" s="242"/>
      <c r="C62" s="242"/>
      <c r="D62" s="242"/>
      <c r="E62" s="242"/>
      <c r="F62" s="243"/>
      <c r="G62" s="243"/>
      <c r="H62" s="243"/>
      <c r="I62" s="29"/>
      <c r="J62" s="29"/>
      <c r="K62" s="28"/>
      <c r="L62" s="53"/>
      <c r="M62" s="29"/>
      <c r="N62" s="29"/>
      <c r="O62" s="29"/>
      <c r="P62" s="29"/>
      <c r="Q62" s="29"/>
      <c r="R62" s="29"/>
      <c r="S62" s="29"/>
      <c r="T62" s="29"/>
      <c r="U62" s="29"/>
      <c r="V62" s="29"/>
      <c r="W62" s="29"/>
      <c r="X62" s="29"/>
    </row>
    <row r="63" spans="1:24">
      <c r="A63" s="27" t="s">
        <v>21</v>
      </c>
      <c r="B63" s="242"/>
      <c r="C63" s="242"/>
      <c r="D63" s="242"/>
      <c r="E63" s="242"/>
      <c r="F63" s="243"/>
      <c r="G63" s="243"/>
      <c r="H63" s="243"/>
      <c r="I63" s="29"/>
      <c r="J63" s="29"/>
      <c r="K63" s="28"/>
      <c r="L63" s="53"/>
      <c r="M63" s="29"/>
      <c r="N63" s="29"/>
      <c r="O63" s="29"/>
      <c r="P63" s="29"/>
      <c r="Q63" s="29"/>
      <c r="R63" s="29"/>
      <c r="S63" s="29"/>
      <c r="T63" s="29"/>
      <c r="U63" s="29"/>
      <c r="V63" s="29"/>
      <c r="W63" s="29"/>
      <c r="X63" s="29"/>
    </row>
    <row r="64" spans="1:24">
      <c r="A64" s="28" t="s">
        <v>178</v>
      </c>
      <c r="B64" s="242">
        <f>24000+7000+7000</f>
        <v>38000</v>
      </c>
      <c r="C64" s="242">
        <v>0</v>
      </c>
      <c r="D64" s="242">
        <f>SUM(B64:C64)</f>
        <v>38000</v>
      </c>
      <c r="E64" s="242">
        <v>5000</v>
      </c>
      <c r="F64" s="246"/>
      <c r="G64" s="246"/>
      <c r="H64" s="243"/>
      <c r="I64" s="29"/>
      <c r="J64" s="29"/>
      <c r="K64" s="29" t="s">
        <v>275</v>
      </c>
      <c r="L64" s="53"/>
      <c r="M64" s="29"/>
      <c r="N64" s="29"/>
      <c r="O64" s="29"/>
      <c r="P64" s="29"/>
      <c r="Q64" s="29"/>
      <c r="R64" s="29"/>
      <c r="S64" s="29"/>
      <c r="T64" s="29"/>
      <c r="U64" s="29"/>
      <c r="V64" s="29"/>
      <c r="W64" s="29"/>
      <c r="X64" s="29"/>
    </row>
    <row r="65" spans="1:24">
      <c r="A65" s="28" t="s">
        <v>20</v>
      </c>
      <c r="B65" s="242">
        <v>107000</v>
      </c>
      <c r="C65" s="242">
        <v>0</v>
      </c>
      <c r="D65" s="242">
        <f>SUM(B65:C65)</f>
        <v>107000</v>
      </c>
      <c r="E65" s="242">
        <v>0</v>
      </c>
      <c r="F65" s="243"/>
      <c r="G65" s="243"/>
      <c r="H65" s="243"/>
      <c r="I65" s="29"/>
      <c r="J65" s="29"/>
      <c r="K65" s="28" t="s">
        <v>238</v>
      </c>
      <c r="L65" s="53"/>
      <c r="M65" s="29"/>
      <c r="N65" s="29"/>
      <c r="O65" s="29"/>
      <c r="P65" s="29"/>
      <c r="Q65" s="29"/>
      <c r="R65" s="29"/>
      <c r="S65" s="29"/>
      <c r="T65" s="29"/>
      <c r="U65" s="29"/>
      <c r="V65" s="29"/>
      <c r="W65" s="29"/>
      <c r="X65" s="29"/>
    </row>
    <row r="66" spans="1:24">
      <c r="A66" s="27" t="str">
        <f>CONCATENATE("Subtotal ",A63)</f>
        <v>Subtotal RTF Member Support &amp; Administration</v>
      </c>
      <c r="B66" s="244">
        <f>SUM(B64:B65)</f>
        <v>145000</v>
      </c>
      <c r="C66" s="244">
        <f>SUM(C64:C65)</f>
        <v>0</v>
      </c>
      <c r="D66" s="244">
        <f>SUM(D64:D65)</f>
        <v>145000</v>
      </c>
      <c r="E66" s="244">
        <f>SUM(E64:E65)</f>
        <v>5000</v>
      </c>
      <c r="F66" s="245">
        <f>D66/$D$77</f>
        <v>9.8438560760353025E-2</v>
      </c>
      <c r="G66" s="243"/>
      <c r="H66" s="243"/>
      <c r="I66" s="29"/>
      <c r="J66" s="29"/>
      <c r="K66" s="29"/>
      <c r="L66" s="53"/>
      <c r="M66" s="29"/>
      <c r="N66" s="29"/>
      <c r="O66" s="29"/>
      <c r="P66" s="29"/>
      <c r="Q66" s="29"/>
      <c r="R66" s="29"/>
      <c r="S66" s="29"/>
      <c r="T66" s="29"/>
      <c r="U66" s="29"/>
      <c r="V66" s="29"/>
      <c r="W66" s="29"/>
      <c r="X66" s="29"/>
    </row>
    <row r="67" spans="1:24">
      <c r="A67" s="29"/>
      <c r="B67" s="242"/>
      <c r="C67" s="242"/>
      <c r="D67" s="242"/>
      <c r="E67" s="242"/>
      <c r="F67" s="243"/>
      <c r="G67" s="243"/>
      <c r="H67" s="243"/>
      <c r="I67" s="29"/>
      <c r="J67" s="29"/>
      <c r="K67" s="29"/>
      <c r="L67" s="53"/>
      <c r="M67" s="29"/>
      <c r="N67" s="29"/>
      <c r="O67" s="29"/>
      <c r="P67" s="29"/>
      <c r="Q67" s="29"/>
      <c r="R67" s="29"/>
      <c r="S67" s="29"/>
      <c r="T67" s="29"/>
      <c r="U67" s="29"/>
      <c r="V67" s="29"/>
      <c r="W67" s="29"/>
      <c r="X67" s="29"/>
    </row>
    <row r="68" spans="1:24">
      <c r="A68" s="29"/>
      <c r="B68" s="242"/>
      <c r="C68" s="242"/>
      <c r="D68" s="242"/>
      <c r="E68" s="242"/>
      <c r="F68" s="243"/>
      <c r="G68" s="243"/>
      <c r="H68" s="243"/>
      <c r="I68" s="29"/>
      <c r="J68" s="29"/>
      <c r="K68" s="29"/>
      <c r="L68" s="53"/>
      <c r="M68" s="29"/>
      <c r="N68" s="29"/>
      <c r="O68" s="29"/>
      <c r="P68" s="29"/>
      <c r="Q68" s="29"/>
      <c r="R68" s="29"/>
      <c r="S68" s="29"/>
      <c r="T68" s="29"/>
      <c r="U68" s="29"/>
      <c r="V68" s="29"/>
      <c r="W68" s="29"/>
      <c r="X68" s="29"/>
    </row>
    <row r="69" spans="1:24">
      <c r="A69" s="27" t="s">
        <v>53</v>
      </c>
      <c r="B69" s="242"/>
      <c r="C69" s="242"/>
      <c r="D69" s="242"/>
      <c r="E69" s="242"/>
      <c r="F69" s="243"/>
      <c r="G69" s="243"/>
      <c r="H69" s="243"/>
      <c r="I69" s="29"/>
      <c r="J69" s="29"/>
      <c r="K69" s="29"/>
      <c r="L69" s="53"/>
      <c r="M69" s="29"/>
      <c r="N69" s="29"/>
      <c r="O69" s="29"/>
      <c r="P69" s="29"/>
      <c r="Q69" s="29"/>
      <c r="R69" s="29"/>
      <c r="S69" s="29"/>
      <c r="T69" s="29"/>
      <c r="U69" s="29"/>
      <c r="V69" s="29"/>
      <c r="W69" s="29"/>
      <c r="X69" s="29"/>
    </row>
    <row r="70" spans="1:24">
      <c r="A70" s="28" t="s">
        <v>143</v>
      </c>
      <c r="B70" s="242">
        <v>0</v>
      </c>
      <c r="C70" s="242">
        <v>120000</v>
      </c>
      <c r="D70" s="242">
        <f>SUM(B70:C70)</f>
        <v>120000</v>
      </c>
      <c r="E70" s="242">
        <v>0</v>
      </c>
      <c r="F70" s="243"/>
      <c r="G70" s="243"/>
      <c r="H70" s="243"/>
      <c r="I70" s="29"/>
      <c r="J70" s="29"/>
      <c r="K70" s="29" t="s">
        <v>235</v>
      </c>
      <c r="L70" s="53"/>
      <c r="M70" s="29"/>
      <c r="N70" s="29"/>
      <c r="O70" s="29"/>
      <c r="P70" s="29"/>
      <c r="Q70" s="29"/>
      <c r="R70" s="29"/>
      <c r="S70" s="29"/>
      <c r="T70" s="29"/>
      <c r="U70" s="29"/>
      <c r="V70" s="29"/>
      <c r="W70" s="29"/>
      <c r="X70" s="29"/>
    </row>
    <row r="71" spans="1:24">
      <c r="A71" s="28" t="s">
        <v>163</v>
      </c>
      <c r="B71" s="242">
        <v>0</v>
      </c>
      <c r="C71" s="242">
        <v>45000</v>
      </c>
      <c r="D71" s="242">
        <f>SUM(B71:C71)</f>
        <v>45000</v>
      </c>
      <c r="E71" s="242">
        <v>100000</v>
      </c>
      <c r="F71" s="247"/>
      <c r="G71" s="247"/>
      <c r="H71" s="246"/>
      <c r="I71" s="204"/>
      <c r="J71" s="29"/>
      <c r="K71" s="29" t="s">
        <v>255</v>
      </c>
      <c r="L71" s="53"/>
      <c r="M71" s="29"/>
      <c r="N71" s="29"/>
      <c r="O71" s="29"/>
      <c r="P71" s="29"/>
      <c r="Q71" s="29"/>
      <c r="R71" s="29"/>
      <c r="S71" s="29"/>
      <c r="T71" s="29"/>
      <c r="U71" s="29"/>
      <c r="V71" s="29"/>
      <c r="W71" s="29"/>
      <c r="X71" s="29"/>
    </row>
    <row r="72" spans="1:24">
      <c r="A72" s="28" t="s">
        <v>177</v>
      </c>
      <c r="B72" s="242">
        <v>0</v>
      </c>
      <c r="C72" s="242">
        <v>30000</v>
      </c>
      <c r="D72" s="242">
        <f>SUM(B72:C72)</f>
        <v>30000</v>
      </c>
      <c r="E72" s="242">
        <v>10000</v>
      </c>
      <c r="F72" s="243"/>
      <c r="G72" s="243"/>
      <c r="H72" s="243"/>
      <c r="I72" s="29"/>
      <c r="J72" s="29"/>
      <c r="K72" s="29" t="s">
        <v>237</v>
      </c>
      <c r="L72" s="53"/>
      <c r="M72" s="29"/>
      <c r="N72" s="29"/>
      <c r="O72" s="29"/>
      <c r="P72" s="29"/>
      <c r="Q72" s="29"/>
      <c r="R72" s="29"/>
      <c r="S72" s="29"/>
      <c r="T72" s="29"/>
      <c r="U72" s="29"/>
      <c r="V72" s="29"/>
      <c r="W72" s="29"/>
      <c r="X72" s="29"/>
    </row>
    <row r="73" spans="1:24">
      <c r="A73" s="28" t="s">
        <v>108</v>
      </c>
      <c r="B73" s="242">
        <v>4000</v>
      </c>
      <c r="C73" s="242">
        <v>1000</v>
      </c>
      <c r="D73" s="242">
        <f>SUM(B73:C73)</f>
        <v>5000</v>
      </c>
      <c r="E73" s="242">
        <v>2000</v>
      </c>
      <c r="F73" s="247"/>
      <c r="G73" s="246"/>
      <c r="H73" s="243"/>
      <c r="I73" s="29"/>
      <c r="J73" s="29"/>
      <c r="K73" s="29" t="s">
        <v>236</v>
      </c>
      <c r="L73" s="53"/>
      <c r="M73" s="29"/>
      <c r="N73" s="29"/>
      <c r="O73" s="29"/>
      <c r="P73" s="29"/>
      <c r="Q73" s="29"/>
      <c r="R73" s="29"/>
      <c r="S73" s="29"/>
      <c r="T73" s="29"/>
      <c r="U73" s="29"/>
      <c r="V73" s="29"/>
      <c r="W73" s="29"/>
      <c r="X73" s="29"/>
    </row>
    <row r="74" spans="1:24">
      <c r="A74" s="27" t="str">
        <f>CONCATENATE("Subtotal ",A69)</f>
        <v>Subtotal RTF Management</v>
      </c>
      <c r="B74" s="244">
        <f>SUM(B70:B73)</f>
        <v>4000</v>
      </c>
      <c r="C74" s="244">
        <f>SUM(C70:C73)</f>
        <v>196000</v>
      </c>
      <c r="D74" s="244">
        <f>SUM(D70:D73)</f>
        <v>200000</v>
      </c>
      <c r="E74" s="244">
        <f>SUM(E70:E73)</f>
        <v>112000</v>
      </c>
      <c r="F74" s="245">
        <f>D74/$D$77</f>
        <v>0.13577732518669383</v>
      </c>
      <c r="G74" s="243"/>
      <c r="H74" s="243"/>
      <c r="I74" s="29"/>
      <c r="J74" s="29"/>
      <c r="K74" s="29"/>
      <c r="L74" s="53"/>
      <c r="M74" s="29"/>
      <c r="N74" s="29"/>
      <c r="O74" s="29"/>
      <c r="P74" s="29"/>
      <c r="Q74" s="29"/>
      <c r="R74" s="29"/>
      <c r="S74" s="29"/>
      <c r="T74" s="29"/>
      <c r="U74" s="29"/>
      <c r="V74" s="29"/>
      <c r="W74" s="29"/>
      <c r="X74" s="29"/>
    </row>
    <row r="75" spans="1:24">
      <c r="A75" s="29"/>
      <c r="B75" s="29"/>
      <c r="C75" s="29"/>
      <c r="D75" s="29"/>
      <c r="E75" s="29"/>
      <c r="F75" s="29"/>
      <c r="G75" s="29"/>
      <c r="H75" s="29"/>
      <c r="I75" s="29"/>
      <c r="J75" s="29"/>
      <c r="K75" s="29"/>
      <c r="L75" s="53"/>
      <c r="M75" s="29"/>
      <c r="N75" s="29"/>
      <c r="O75" s="29"/>
      <c r="P75" s="29"/>
      <c r="Q75" s="29"/>
      <c r="R75" s="29"/>
      <c r="S75" s="29"/>
      <c r="T75" s="29"/>
      <c r="U75" s="29"/>
      <c r="V75" s="29"/>
      <c r="W75" s="29"/>
      <c r="X75" s="29"/>
    </row>
    <row r="77" spans="1:24">
      <c r="A77" s="30" t="s">
        <v>214</v>
      </c>
      <c r="B77" s="54">
        <f>SUM(B15,B22,B29,B37,B45,B51,B60,B66,B74)</f>
        <v>482000</v>
      </c>
      <c r="C77" s="54">
        <f>SUM(C15,C22,C29,C37,C45,C51,C60,C66,C74)</f>
        <v>991000</v>
      </c>
      <c r="D77" s="54">
        <f>SUM(D15,D22,D29,D37,D45,D51,D60,D66,D74)</f>
        <v>1473000</v>
      </c>
      <c r="E77" s="54">
        <f>SUM(E15,E22,E29,E37,E45,E51,E60,E66,E74)</f>
        <v>277100</v>
      </c>
      <c r="F77" s="55">
        <f>SUM(F9:F76)</f>
        <v>1</v>
      </c>
      <c r="G77" s="31"/>
      <c r="H77" s="31"/>
      <c r="I77" s="31"/>
      <c r="J77" s="31"/>
      <c r="K77" s="31"/>
      <c r="L77" s="56"/>
      <c r="M77" s="31"/>
      <c r="N77" s="31"/>
      <c r="O77" s="31"/>
      <c r="P77" s="31"/>
      <c r="Q77" s="31"/>
      <c r="R77" s="31"/>
      <c r="S77" s="31"/>
      <c r="T77" s="31"/>
      <c r="U77" s="31"/>
      <c r="V77" s="31"/>
      <c r="W77" s="31"/>
      <c r="X77" s="31"/>
    </row>
    <row r="78" spans="1:24">
      <c r="E78" s="248"/>
    </row>
    <row r="79" spans="1:24">
      <c r="A79" s="205" t="s">
        <v>269</v>
      </c>
      <c r="B79" s="213"/>
      <c r="L79" s="21"/>
    </row>
    <row r="80" spans="1:24">
      <c r="A80" s="206" t="s">
        <v>270</v>
      </c>
      <c r="B80" s="207">
        <f>B77/$D$77</f>
        <v>0.32722335369993211</v>
      </c>
      <c r="L80" s="21"/>
    </row>
    <row r="81" spans="1:12">
      <c r="A81" s="206" t="s">
        <v>271</v>
      </c>
      <c r="B81" s="207">
        <f>C77/$D$77</f>
        <v>0.67277664630006784</v>
      </c>
    </row>
    <row r="82" spans="1:12">
      <c r="A82" s="208" t="s">
        <v>272</v>
      </c>
      <c r="B82" s="207">
        <f>SUM(E15,E22,E29,E37,E45,E51,E60)/SUM(E15,E22,E29,E37,E45,E51,E60,E74,E66)</f>
        <v>0.57776975821003251</v>
      </c>
      <c r="C82" s="69"/>
      <c r="L82" s="21"/>
    </row>
    <row r="83" spans="1:12">
      <c r="A83" s="208" t="s">
        <v>273</v>
      </c>
      <c r="B83" s="207">
        <f>1-B82</f>
        <v>0.42223024178996749</v>
      </c>
      <c r="C83" s="69"/>
      <c r="L83" s="21"/>
    </row>
    <row r="84" spans="1:12">
      <c r="A84" s="206" t="s">
        <v>268</v>
      </c>
      <c r="B84" s="209">
        <f>SUM(B10:B13,B20)</f>
        <v>69000</v>
      </c>
    </row>
    <row r="85" spans="1:12">
      <c r="A85" s="208" t="s">
        <v>266</v>
      </c>
      <c r="B85" s="210">
        <f>C77/('NPCC In Kind'!K2)</f>
        <v>6.1937499999999996</v>
      </c>
      <c r="L85" s="21"/>
    </row>
    <row r="86" spans="1:12">
      <c r="A86" s="211" t="s">
        <v>267</v>
      </c>
      <c r="B86" s="212">
        <f>E77/('NPCC In Kind'!K2)</f>
        <v>1.7318750000000001</v>
      </c>
      <c r="L86" s="21"/>
    </row>
  </sheetData>
  <mergeCells count="1">
    <mergeCell ref="G7:J7"/>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sheetPr codeName="Sheet4"/>
  <dimension ref="B1:T43"/>
  <sheetViews>
    <sheetView workbookViewId="0">
      <selection activeCell="B1" sqref="B1"/>
    </sheetView>
  </sheetViews>
  <sheetFormatPr defaultColWidth="8.85546875" defaultRowHeight="15.75"/>
  <cols>
    <col min="1" max="1" width="8.85546875" style="21"/>
    <col min="2" max="2" width="51" style="21" bestFit="1" customWidth="1"/>
    <col min="3" max="3" width="12" style="21" bestFit="1" customWidth="1"/>
    <col min="4" max="4" width="13.7109375" style="21" customWidth="1"/>
    <col min="5" max="5" width="12.7109375" style="21" customWidth="1"/>
    <col min="6" max="6" width="13.5703125" style="21" customWidth="1"/>
    <col min="7" max="7" width="11" style="21" customWidth="1"/>
    <col min="8" max="8" width="7.140625" style="21" bestFit="1" customWidth="1"/>
    <col min="9" max="9" width="11.85546875" style="21" customWidth="1"/>
    <col min="10" max="10" width="13.7109375" style="21" customWidth="1"/>
    <col min="11" max="11" width="13.140625" style="21" customWidth="1"/>
    <col min="12" max="12" width="13.42578125" style="21" customWidth="1"/>
    <col min="13" max="13" width="8.85546875" style="21"/>
    <col min="14" max="14" width="7.140625" style="21" bestFit="1" customWidth="1"/>
    <col min="15" max="15" width="11.5703125" style="21" customWidth="1"/>
    <col min="16" max="16" width="13.7109375" style="21" customWidth="1"/>
    <col min="17" max="17" width="13.140625" style="21" customWidth="1"/>
    <col min="18" max="18" width="13.7109375" style="21" customWidth="1"/>
    <col min="19" max="19" width="8.85546875" style="21"/>
    <col min="20" max="20" width="62.140625" style="21" customWidth="1"/>
    <col min="21" max="16384" width="8.85546875" style="21"/>
  </cols>
  <sheetData>
    <row r="1" spans="2:20" ht="18.75">
      <c r="B1" s="201" t="s">
        <v>218</v>
      </c>
    </row>
    <row r="2" spans="2:20">
      <c r="B2" s="5" t="str">
        <f>'Table of Contents'!B2</f>
        <v>Final - Adopted by RTF on October 15, Approved by Council on November 5.</v>
      </c>
      <c r="M2" s="105"/>
      <c r="N2" s="105"/>
    </row>
    <row r="3" spans="2:20">
      <c r="B3" t="s">
        <v>259</v>
      </c>
      <c r="K3" s="217" t="s">
        <v>281</v>
      </c>
      <c r="L3" s="218">
        <v>0.02</v>
      </c>
      <c r="Q3" s="217" t="s">
        <v>281</v>
      </c>
      <c r="R3" s="218">
        <f>L3+0.02</f>
        <v>0.04</v>
      </c>
    </row>
    <row r="4" spans="2:20">
      <c r="C4" s="310" t="s">
        <v>109</v>
      </c>
      <c r="D4" s="310"/>
      <c r="E4" s="310"/>
      <c r="F4" s="310"/>
      <c r="I4" s="310" t="s">
        <v>179</v>
      </c>
      <c r="J4" s="310"/>
      <c r="K4" s="310"/>
      <c r="L4" s="310"/>
      <c r="O4" s="310" t="s">
        <v>216</v>
      </c>
      <c r="P4" s="310"/>
      <c r="Q4" s="310"/>
      <c r="R4" s="310"/>
    </row>
    <row r="5" spans="2:20" ht="63">
      <c r="B5" s="58" t="s">
        <v>51</v>
      </c>
      <c r="C5" s="59" t="s">
        <v>194</v>
      </c>
      <c r="D5" s="59" t="s">
        <v>201</v>
      </c>
      <c r="E5" s="106" t="s">
        <v>70</v>
      </c>
      <c r="F5" s="63" t="s">
        <v>150</v>
      </c>
      <c r="H5" s="59" t="s">
        <v>110</v>
      </c>
      <c r="I5" s="59" t="s">
        <v>194</v>
      </c>
      <c r="J5" s="59" t="s">
        <v>201</v>
      </c>
      <c r="K5" s="106" t="s">
        <v>70</v>
      </c>
      <c r="L5" s="63" t="s">
        <v>150</v>
      </c>
      <c r="N5" s="59" t="s">
        <v>110</v>
      </c>
      <c r="O5" s="59" t="s">
        <v>194</v>
      </c>
      <c r="P5" s="59" t="s">
        <v>201</v>
      </c>
      <c r="Q5" s="106" t="s">
        <v>70</v>
      </c>
      <c r="R5" s="63" t="s">
        <v>150</v>
      </c>
      <c r="T5" s="59" t="s">
        <v>19</v>
      </c>
    </row>
    <row r="6" spans="2:20" ht="38.25" customHeight="1">
      <c r="B6" s="64" t="s">
        <v>54</v>
      </c>
      <c r="C6" s="65">
        <f>'Category Detail (2014)'!B15</f>
        <v>65500</v>
      </c>
      <c r="D6" s="65">
        <f>'Category Detail (2014)'!C15</f>
        <v>410000</v>
      </c>
      <c r="E6" s="66">
        <f>'Category Detail (2014)'!D15</f>
        <v>475500</v>
      </c>
      <c r="F6" s="67">
        <f>'Category Detail (2014)'!E15</f>
        <v>7500</v>
      </c>
      <c r="H6" s="94">
        <v>1</v>
      </c>
      <c r="I6" s="65">
        <f>C6*$H6</f>
        <v>65500</v>
      </c>
      <c r="J6" s="65">
        <f t="shared" ref="J6:J14" si="0">D6*$H6*(1+$L$3)</f>
        <v>418200</v>
      </c>
      <c r="K6" s="107">
        <f>SUM(I6:J6)</f>
        <v>483700</v>
      </c>
      <c r="L6" s="65">
        <f>F6*$H6*(1+$L$3)</f>
        <v>7650</v>
      </c>
      <c r="N6" s="94">
        <v>0.8</v>
      </c>
      <c r="O6" s="65">
        <f>I6*$N6</f>
        <v>52400</v>
      </c>
      <c r="P6" s="65">
        <f t="shared" ref="P6:P14" si="1">J6*$N6*(1+$R$3)</f>
        <v>347942.40000000002</v>
      </c>
      <c r="Q6" s="107">
        <f t="shared" ref="Q6" si="2">K6*$N6</f>
        <v>386960</v>
      </c>
      <c r="R6" s="65">
        <f>F6*$N6*(1+$R$3)</f>
        <v>6240</v>
      </c>
      <c r="T6" s="108" t="s">
        <v>260</v>
      </c>
    </row>
    <row r="7" spans="2:20" ht="38.25" customHeight="1">
      <c r="B7" s="64" t="s">
        <v>69</v>
      </c>
      <c r="C7" s="65">
        <f>'Category Detail (2014)'!B22</f>
        <v>65000</v>
      </c>
      <c r="D7" s="65">
        <f>'Category Detail (2014)'!C22</f>
        <v>140000</v>
      </c>
      <c r="E7" s="66">
        <f>'Category Detail (2014)'!D22</f>
        <v>205000</v>
      </c>
      <c r="F7" s="67">
        <f>'Category Detail (2014)'!E22</f>
        <v>3000</v>
      </c>
      <c r="H7" s="94">
        <v>1.5</v>
      </c>
      <c r="I7" s="65">
        <f t="shared" ref="I7:I8" si="3">C7*$H7</f>
        <v>97500</v>
      </c>
      <c r="J7" s="65">
        <f t="shared" si="0"/>
        <v>214200</v>
      </c>
      <c r="K7" s="107">
        <f t="shared" ref="K7:K14" si="4">SUM(I7:J7)</f>
        <v>311700</v>
      </c>
      <c r="L7" s="65">
        <f t="shared" ref="L7:L13" si="5">F7*$H7*(1+$L$3)</f>
        <v>4590</v>
      </c>
      <c r="N7" s="94">
        <v>1.5</v>
      </c>
      <c r="O7" s="65">
        <f t="shared" ref="O7:O14" si="6">I7*$N7</f>
        <v>146250</v>
      </c>
      <c r="P7" s="65">
        <f t="shared" si="1"/>
        <v>334152</v>
      </c>
      <c r="Q7" s="107">
        <f t="shared" ref="Q7:Q14" si="7">K7*$N7</f>
        <v>467550</v>
      </c>
      <c r="R7" s="65">
        <f t="shared" ref="R7:R13" si="8">F7*$N7*(1+$R$3)</f>
        <v>4680</v>
      </c>
      <c r="T7" s="108" t="s">
        <v>261</v>
      </c>
    </row>
    <row r="8" spans="2:20" ht="38.25" customHeight="1">
      <c r="B8" s="64" t="s">
        <v>52</v>
      </c>
      <c r="C8" s="65">
        <f>'Category Detail (2014)'!B29</f>
        <v>40000</v>
      </c>
      <c r="D8" s="65">
        <f>'Category Detail (2014)'!C29</f>
        <v>19000</v>
      </c>
      <c r="E8" s="66">
        <f>'Category Detail (2014)'!D29</f>
        <v>59000</v>
      </c>
      <c r="F8" s="67">
        <f>'Category Detail (2014)'!E29</f>
        <v>1100</v>
      </c>
      <c r="H8" s="94">
        <v>0.75</v>
      </c>
      <c r="I8" s="65">
        <f t="shared" si="3"/>
        <v>30000</v>
      </c>
      <c r="J8" s="65">
        <f t="shared" si="0"/>
        <v>14535</v>
      </c>
      <c r="K8" s="107">
        <f t="shared" si="4"/>
        <v>44535</v>
      </c>
      <c r="L8" s="65">
        <f t="shared" si="5"/>
        <v>841.5</v>
      </c>
      <c r="N8" s="94">
        <v>0.5</v>
      </c>
      <c r="O8" s="65">
        <f t="shared" si="6"/>
        <v>15000</v>
      </c>
      <c r="P8" s="65">
        <f t="shared" si="1"/>
        <v>7558.2</v>
      </c>
      <c r="Q8" s="107">
        <f t="shared" si="7"/>
        <v>22267.5</v>
      </c>
      <c r="R8" s="65">
        <f t="shared" si="8"/>
        <v>572</v>
      </c>
      <c r="T8" s="108" t="s">
        <v>111</v>
      </c>
    </row>
    <row r="9" spans="2:20" ht="38.25" customHeight="1">
      <c r="B9" s="72" t="s">
        <v>68</v>
      </c>
      <c r="C9" s="73">
        <f>'Category Detail (2014)'!B37</f>
        <v>65000</v>
      </c>
      <c r="D9" s="73">
        <f>'Category Detail (2014)'!C37</f>
        <v>120000</v>
      </c>
      <c r="E9" s="74">
        <f>'Category Detail (2014)'!D37</f>
        <v>185000</v>
      </c>
      <c r="F9" s="75">
        <f>'Category Detail (2014)'!E37</f>
        <v>25000</v>
      </c>
      <c r="H9" s="94">
        <v>0.75</v>
      </c>
      <c r="I9" s="73">
        <f t="shared" ref="I9:I13" si="9">C9*$H9</f>
        <v>48750</v>
      </c>
      <c r="J9" s="73">
        <f t="shared" si="0"/>
        <v>91800</v>
      </c>
      <c r="K9" s="109">
        <f t="shared" si="4"/>
        <v>140550</v>
      </c>
      <c r="L9" s="75">
        <f t="shared" si="5"/>
        <v>19125</v>
      </c>
      <c r="N9" s="94">
        <v>0.6</v>
      </c>
      <c r="O9" s="73">
        <f t="shared" si="6"/>
        <v>29250</v>
      </c>
      <c r="P9" s="73">
        <f t="shared" si="1"/>
        <v>57283.200000000004</v>
      </c>
      <c r="Q9" s="109">
        <f t="shared" si="7"/>
        <v>84330</v>
      </c>
      <c r="R9" s="75">
        <f t="shared" si="8"/>
        <v>15600</v>
      </c>
      <c r="T9" s="110" t="s">
        <v>262</v>
      </c>
    </row>
    <row r="10" spans="2:20" ht="38.25" customHeight="1">
      <c r="B10" s="72" t="s">
        <v>30</v>
      </c>
      <c r="C10" s="73">
        <f>'Category Detail (2014)'!B45</f>
        <v>60000</v>
      </c>
      <c r="D10" s="73">
        <f>'Category Detail (2014)'!C45</f>
        <v>60000</v>
      </c>
      <c r="E10" s="74">
        <f>'Category Detail (2014)'!D45</f>
        <v>120000</v>
      </c>
      <c r="F10" s="75">
        <f>'Category Detail (2014)'!E45</f>
        <v>42500</v>
      </c>
      <c r="H10" s="94">
        <v>1.2</v>
      </c>
      <c r="I10" s="73">
        <f t="shared" si="9"/>
        <v>72000</v>
      </c>
      <c r="J10" s="73">
        <f t="shared" si="0"/>
        <v>73440</v>
      </c>
      <c r="K10" s="109">
        <f t="shared" si="4"/>
        <v>145440</v>
      </c>
      <c r="L10" s="75">
        <f t="shared" si="5"/>
        <v>52020</v>
      </c>
      <c r="N10" s="94">
        <v>1.3</v>
      </c>
      <c r="O10" s="73">
        <f t="shared" si="6"/>
        <v>93600</v>
      </c>
      <c r="P10" s="73">
        <f t="shared" si="1"/>
        <v>99290.880000000005</v>
      </c>
      <c r="Q10" s="109">
        <f t="shared" si="7"/>
        <v>189072</v>
      </c>
      <c r="R10" s="75">
        <f t="shared" si="8"/>
        <v>57460</v>
      </c>
      <c r="T10" s="110" t="s">
        <v>112</v>
      </c>
    </row>
    <row r="11" spans="2:20" ht="38.25" customHeight="1">
      <c r="B11" s="72" t="s">
        <v>74</v>
      </c>
      <c r="C11" s="73">
        <f>'Category Detail (2014)'!B51</f>
        <v>12500</v>
      </c>
      <c r="D11" s="73">
        <f>'Category Detail (2014)'!C51</f>
        <v>6000</v>
      </c>
      <c r="E11" s="74">
        <f>'Category Detail (2014)'!D51</f>
        <v>18500</v>
      </c>
      <c r="F11" s="75">
        <f>'Category Detail (2014)'!E51</f>
        <v>6000</v>
      </c>
      <c r="H11" s="94">
        <v>1.1000000000000001</v>
      </c>
      <c r="I11" s="73">
        <f t="shared" si="9"/>
        <v>13750.000000000002</v>
      </c>
      <c r="J11" s="73">
        <f t="shared" si="0"/>
        <v>6732.0000000000009</v>
      </c>
      <c r="K11" s="109">
        <f t="shared" si="4"/>
        <v>20482.000000000004</v>
      </c>
      <c r="L11" s="75">
        <f t="shared" si="5"/>
        <v>6732.0000000000009</v>
      </c>
      <c r="N11" s="94">
        <v>1.2</v>
      </c>
      <c r="O11" s="73">
        <f t="shared" si="6"/>
        <v>16500</v>
      </c>
      <c r="P11" s="73">
        <f t="shared" si="1"/>
        <v>8401.5360000000001</v>
      </c>
      <c r="Q11" s="109">
        <f t="shared" si="7"/>
        <v>24578.400000000005</v>
      </c>
      <c r="R11" s="75">
        <f t="shared" si="8"/>
        <v>7488</v>
      </c>
      <c r="T11" s="110" t="s">
        <v>112</v>
      </c>
    </row>
    <row r="12" spans="2:20" ht="38.25" customHeight="1">
      <c r="B12" s="79" t="s">
        <v>50</v>
      </c>
      <c r="C12" s="80">
        <f>'Category Detail (2014)'!B60</f>
        <v>25000</v>
      </c>
      <c r="D12" s="80">
        <f>'Category Detail (2014)'!C60</f>
        <v>40000</v>
      </c>
      <c r="E12" s="81">
        <f>'Category Detail (2014)'!D60</f>
        <v>65000</v>
      </c>
      <c r="F12" s="82">
        <f>'Category Detail (2014)'!E60</f>
        <v>75000</v>
      </c>
      <c r="H12" s="94">
        <v>1</v>
      </c>
      <c r="I12" s="80">
        <f t="shared" si="9"/>
        <v>25000</v>
      </c>
      <c r="J12" s="216">
        <f t="shared" si="0"/>
        <v>40800</v>
      </c>
      <c r="K12" s="111">
        <f t="shared" si="4"/>
        <v>65800</v>
      </c>
      <c r="L12" s="82">
        <f t="shared" si="5"/>
        <v>76500</v>
      </c>
      <c r="N12" s="94">
        <v>1</v>
      </c>
      <c r="O12" s="214">
        <f t="shared" si="6"/>
        <v>25000</v>
      </c>
      <c r="P12" s="216">
        <f t="shared" si="1"/>
        <v>42432</v>
      </c>
      <c r="Q12" s="111">
        <f t="shared" si="7"/>
        <v>65800</v>
      </c>
      <c r="R12" s="82">
        <f t="shared" si="8"/>
        <v>78000</v>
      </c>
      <c r="T12" s="112" t="s">
        <v>113</v>
      </c>
    </row>
    <row r="13" spans="2:20" ht="38.25" customHeight="1">
      <c r="B13" s="79" t="s">
        <v>21</v>
      </c>
      <c r="C13" s="80">
        <f>'Category Detail (2014)'!B66</f>
        <v>145000</v>
      </c>
      <c r="D13" s="80">
        <f>'Category Detail (2014)'!C66</f>
        <v>0</v>
      </c>
      <c r="E13" s="81">
        <f>'Category Detail (2014)'!D66</f>
        <v>145000</v>
      </c>
      <c r="F13" s="82">
        <f>'Category Detail (2014)'!E66</f>
        <v>5000</v>
      </c>
      <c r="H13" s="94">
        <v>1.1000000000000001</v>
      </c>
      <c r="I13" s="80">
        <f t="shared" si="9"/>
        <v>159500</v>
      </c>
      <c r="J13" s="216">
        <f t="shared" si="0"/>
        <v>0</v>
      </c>
      <c r="K13" s="111">
        <f t="shared" si="4"/>
        <v>159500</v>
      </c>
      <c r="L13" s="82">
        <f t="shared" si="5"/>
        <v>5610</v>
      </c>
      <c r="N13" s="94">
        <v>1.1499999999999999</v>
      </c>
      <c r="O13" s="214">
        <f t="shared" si="6"/>
        <v>183425</v>
      </c>
      <c r="P13" s="216">
        <f t="shared" si="1"/>
        <v>0</v>
      </c>
      <c r="Q13" s="111">
        <f t="shared" si="7"/>
        <v>183425</v>
      </c>
      <c r="R13" s="82">
        <f t="shared" si="8"/>
        <v>5980</v>
      </c>
      <c r="T13" s="112" t="s">
        <v>263</v>
      </c>
    </row>
    <row r="14" spans="2:20" ht="38.25" customHeight="1">
      <c r="B14" s="79" t="s">
        <v>53</v>
      </c>
      <c r="C14" s="80">
        <f>'Category Detail (2014)'!B74</f>
        <v>4000</v>
      </c>
      <c r="D14" s="80">
        <f>'Category Detail (2014)'!C74</f>
        <v>196000</v>
      </c>
      <c r="E14" s="81">
        <f>'Category Detail (2014)'!D74</f>
        <v>200000</v>
      </c>
      <c r="F14" s="82">
        <f>'Category Detail (2014)'!E74</f>
        <v>112000</v>
      </c>
      <c r="H14" s="94">
        <v>1.2</v>
      </c>
      <c r="I14" s="80">
        <f t="shared" ref="I14" si="10">C14*$H14</f>
        <v>4800</v>
      </c>
      <c r="J14" s="216">
        <f t="shared" si="0"/>
        <v>239904</v>
      </c>
      <c r="K14" s="111">
        <f t="shared" si="4"/>
        <v>244704</v>
      </c>
      <c r="L14" s="82">
        <f>F14*(1/$H14)*(1+$L$3)</f>
        <v>95200.000000000015</v>
      </c>
      <c r="N14" s="94">
        <v>1.25</v>
      </c>
      <c r="O14" s="214">
        <f t="shared" si="6"/>
        <v>6000</v>
      </c>
      <c r="P14" s="216">
        <f t="shared" si="1"/>
        <v>311875.20000000001</v>
      </c>
      <c r="Q14" s="111">
        <f t="shared" si="7"/>
        <v>305880</v>
      </c>
      <c r="R14" s="82">
        <f>F14*(1/$N14)*(1+$R$3)</f>
        <v>93184</v>
      </c>
      <c r="T14" s="112" t="s">
        <v>264</v>
      </c>
    </row>
    <row r="15" spans="2:20" ht="38.25" customHeight="1">
      <c r="B15" s="85" t="s">
        <v>22</v>
      </c>
      <c r="C15" s="86">
        <f>SUM(C6:C14)</f>
        <v>482000</v>
      </c>
      <c r="D15" s="86">
        <f t="shared" ref="D15:F15" si="11">SUM(D6:D14)</f>
        <v>991000</v>
      </c>
      <c r="E15" s="87">
        <f t="shared" si="11"/>
        <v>1473000</v>
      </c>
      <c r="F15" s="88">
        <f t="shared" si="11"/>
        <v>277100</v>
      </c>
      <c r="I15" s="86">
        <f>SUM(I6:I14)</f>
        <v>516800</v>
      </c>
      <c r="J15" s="86">
        <f t="shared" ref="J15:L15" si="12">SUM(J6:J14)</f>
        <v>1099611</v>
      </c>
      <c r="K15" s="113">
        <f t="shared" si="12"/>
        <v>1616411</v>
      </c>
      <c r="L15" s="86">
        <f t="shared" si="12"/>
        <v>268268.5</v>
      </c>
      <c r="O15" s="86">
        <f>SUM(O6:O14)</f>
        <v>567425</v>
      </c>
      <c r="P15" s="86">
        <f t="shared" ref="P15:R15" si="13">SUM(P6:P14)</f>
        <v>1208935.416</v>
      </c>
      <c r="Q15" s="113">
        <f t="shared" si="13"/>
        <v>1729862.9</v>
      </c>
      <c r="R15" s="86">
        <f t="shared" si="13"/>
        <v>269204</v>
      </c>
      <c r="T15" s="114"/>
    </row>
    <row r="16" spans="2:20">
      <c r="B16" s="115" t="s">
        <v>32</v>
      </c>
      <c r="C16" s="116"/>
      <c r="D16" s="117">
        <f>D15/('NPCC In Kind'!K2)</f>
        <v>6.1937499999999996</v>
      </c>
      <c r="E16" s="118"/>
      <c r="F16" s="119">
        <f>F15/'NPCC In Kind'!$K$2</f>
        <v>1.7318750000000001</v>
      </c>
      <c r="I16" s="116"/>
      <c r="J16" s="117">
        <f>J15/('NPCC In Kind'!K2)</f>
        <v>6.8725687500000001</v>
      </c>
      <c r="K16" s="118"/>
      <c r="L16" s="119">
        <f>L15/'NPCC In Kind'!$K$2</f>
        <v>1.676678125</v>
      </c>
      <c r="O16" s="116"/>
      <c r="P16" s="117">
        <f>P15/('NPCC In Kind'!K2)</f>
        <v>7.5558463499999995</v>
      </c>
      <c r="Q16" s="118"/>
      <c r="R16" s="119">
        <f>R15/'NPCC In Kind'!$K$2</f>
        <v>1.682525</v>
      </c>
    </row>
    <row r="18" spans="2:6" ht="31.5">
      <c r="C18" s="59" t="s">
        <v>194</v>
      </c>
      <c r="D18" s="59" t="s">
        <v>201</v>
      </c>
      <c r="E18" s="59" t="s">
        <v>70</v>
      </c>
      <c r="F18" s="59" t="s">
        <v>189</v>
      </c>
    </row>
    <row r="19" spans="2:6">
      <c r="B19" s="120" t="str">
        <f>C4</f>
        <v>Calendar 2014</v>
      </c>
      <c r="C19" s="121">
        <f>C15</f>
        <v>482000</v>
      </c>
      <c r="D19" s="121">
        <f t="shared" ref="D19:F19" si="14">D15</f>
        <v>991000</v>
      </c>
      <c r="E19" s="121">
        <f t="shared" si="14"/>
        <v>1473000</v>
      </c>
      <c r="F19" s="121">
        <f t="shared" si="14"/>
        <v>277100</v>
      </c>
    </row>
    <row r="20" spans="2:6">
      <c r="B20" s="120" t="str">
        <f>I4</f>
        <v>Calendar 2015</v>
      </c>
      <c r="C20" s="121">
        <f>I15</f>
        <v>516800</v>
      </c>
      <c r="D20" s="121">
        <f t="shared" ref="D20:F20" si="15">J15</f>
        <v>1099611</v>
      </c>
      <c r="E20" s="121">
        <f t="shared" si="15"/>
        <v>1616411</v>
      </c>
      <c r="F20" s="121">
        <f t="shared" si="15"/>
        <v>268268.5</v>
      </c>
    </row>
    <row r="21" spans="2:6">
      <c r="B21" s="120" t="str">
        <f>O4</f>
        <v>Calendar 2016</v>
      </c>
      <c r="C21" s="121">
        <f>O15</f>
        <v>567425</v>
      </c>
      <c r="D21" s="121">
        <f>P15</f>
        <v>1208935.416</v>
      </c>
      <c r="E21" s="121">
        <f>Q15</f>
        <v>1729862.9</v>
      </c>
      <c r="F21" s="121">
        <f>R15</f>
        <v>269204</v>
      </c>
    </row>
    <row r="24" spans="2:6">
      <c r="B24" s="116"/>
      <c r="C24" s="59" t="s">
        <v>149</v>
      </c>
      <c r="D24" s="59" t="s">
        <v>180</v>
      </c>
      <c r="E24" s="59" t="s">
        <v>217</v>
      </c>
    </row>
    <row r="25" spans="2:6">
      <c r="B25" s="120" t="s">
        <v>194</v>
      </c>
      <c r="C25" s="122">
        <f>C19</f>
        <v>482000</v>
      </c>
      <c r="D25" s="122">
        <f>C20</f>
        <v>516800</v>
      </c>
      <c r="E25" s="122">
        <f>C21</f>
        <v>567425</v>
      </c>
    </row>
    <row r="26" spans="2:6">
      <c r="B26" s="120" t="s">
        <v>201</v>
      </c>
      <c r="C26" s="122">
        <f>D19</f>
        <v>991000</v>
      </c>
      <c r="D26" s="122">
        <f>D20</f>
        <v>1099611</v>
      </c>
      <c r="E26" s="122">
        <f>D21</f>
        <v>1208935.416</v>
      </c>
    </row>
    <row r="27" spans="2:6">
      <c r="B27" s="120" t="s">
        <v>70</v>
      </c>
      <c r="C27" s="122">
        <f>E19</f>
        <v>1473000</v>
      </c>
      <c r="D27" s="122">
        <f>E20</f>
        <v>1616411</v>
      </c>
      <c r="E27" s="122">
        <f>E21</f>
        <v>1729862.9</v>
      </c>
    </row>
    <row r="28" spans="2:6">
      <c r="B28" s="120" t="s">
        <v>71</v>
      </c>
      <c r="C28" s="122">
        <f>F19</f>
        <v>277100</v>
      </c>
      <c r="D28" s="122">
        <f>F20</f>
        <v>268268.5</v>
      </c>
      <c r="E28" s="122">
        <f>F21</f>
        <v>269204</v>
      </c>
    </row>
    <row r="29" spans="2:6">
      <c r="B29" s="120" t="s">
        <v>151</v>
      </c>
      <c r="C29" s="123">
        <f>F16</f>
        <v>1.7318750000000001</v>
      </c>
      <c r="D29" s="123">
        <f>L16</f>
        <v>1.676678125</v>
      </c>
      <c r="E29" s="123">
        <f>R16</f>
        <v>1.682525</v>
      </c>
    </row>
    <row r="32" spans="2:6">
      <c r="B32" s="124" t="s">
        <v>70</v>
      </c>
      <c r="C32" s="59" t="s">
        <v>149</v>
      </c>
      <c r="D32" s="59" t="s">
        <v>180</v>
      </c>
      <c r="E32" s="59" t="s">
        <v>217</v>
      </c>
    </row>
    <row r="33" spans="2:5">
      <c r="B33" s="125" t="s">
        <v>152</v>
      </c>
      <c r="C33" s="126">
        <f>SUM(E6:E8)</f>
        <v>739500</v>
      </c>
      <c r="D33" s="126">
        <f>SUM(K6:K8)</f>
        <v>839935</v>
      </c>
      <c r="E33" s="126">
        <f>SUM(Q6:Q8)</f>
        <v>876777.5</v>
      </c>
    </row>
    <row r="34" spans="2:5">
      <c r="B34" s="127" t="s">
        <v>153</v>
      </c>
      <c r="C34" s="128">
        <f>SUM(E9:E11)</f>
        <v>323500</v>
      </c>
      <c r="D34" s="128">
        <f>SUM(K9:K11)</f>
        <v>306472</v>
      </c>
      <c r="E34" s="128">
        <f>SUM(Q9:Q11)</f>
        <v>297980.40000000002</v>
      </c>
    </row>
    <row r="35" spans="2:5">
      <c r="B35" s="129" t="s">
        <v>53</v>
      </c>
      <c r="C35" s="130">
        <f>SUM(E12:E14)</f>
        <v>410000</v>
      </c>
      <c r="D35" s="130">
        <f>SUM(K12:K14)</f>
        <v>470004</v>
      </c>
      <c r="E35" s="130">
        <f>SUM(Q12:Q14)</f>
        <v>555105</v>
      </c>
    </row>
    <row r="36" spans="2:5">
      <c r="B36" s="131" t="s">
        <v>125</v>
      </c>
      <c r="C36" s="132">
        <f>SUM(C33:C35)</f>
        <v>1473000</v>
      </c>
      <c r="D36" s="132">
        <f t="shared" ref="D36:E36" si="16">SUM(D33:D35)</f>
        <v>1616411</v>
      </c>
      <c r="E36" s="132">
        <f t="shared" si="16"/>
        <v>1729862.9</v>
      </c>
    </row>
    <row r="39" spans="2:5">
      <c r="B39" s="124" t="s">
        <v>154</v>
      </c>
      <c r="C39" s="59" t="s">
        <v>149</v>
      </c>
      <c r="D39" s="59" t="s">
        <v>180</v>
      </c>
      <c r="E39" s="59" t="s">
        <v>217</v>
      </c>
    </row>
    <row r="40" spans="2:5">
      <c r="B40" s="125" t="s">
        <v>152</v>
      </c>
      <c r="C40" s="126">
        <f>SUM(E6:F8)</f>
        <v>751100</v>
      </c>
      <c r="D40" s="126">
        <f>SUM(K6:L8)</f>
        <v>853016.5</v>
      </c>
      <c r="E40" s="126">
        <f>SUM(Q6:R8)</f>
        <v>888269.5</v>
      </c>
    </row>
    <row r="41" spans="2:5">
      <c r="B41" s="127" t="s">
        <v>153</v>
      </c>
      <c r="C41" s="128">
        <f>SUM(E9:F11)</f>
        <v>397000</v>
      </c>
      <c r="D41" s="128">
        <f>SUM(K9:L11)</f>
        <v>384349</v>
      </c>
      <c r="E41" s="128">
        <f>SUM(Q9:R11)</f>
        <v>378528.4</v>
      </c>
    </row>
    <row r="42" spans="2:5">
      <c r="B42" s="129" t="s">
        <v>53</v>
      </c>
      <c r="C42" s="130">
        <f>SUM(E12:F14)</f>
        <v>602000</v>
      </c>
      <c r="D42" s="130">
        <f>SUM(K12:L14)</f>
        <v>647314</v>
      </c>
      <c r="E42" s="130">
        <f>SUM(Q12:R14)</f>
        <v>732269</v>
      </c>
    </row>
    <row r="43" spans="2:5">
      <c r="B43" s="131" t="s">
        <v>125</v>
      </c>
      <c r="C43" s="132">
        <f>SUM(C40:C42)</f>
        <v>1750100</v>
      </c>
      <c r="D43" s="132">
        <f t="shared" ref="D43:E43" si="17">SUM(D40:D42)</f>
        <v>1884679.5</v>
      </c>
      <c r="E43" s="132">
        <f t="shared" si="17"/>
        <v>1999066.9</v>
      </c>
    </row>
  </sheetData>
  <mergeCells count="3">
    <mergeCell ref="C4:F4"/>
    <mergeCell ref="I4:L4"/>
    <mergeCell ref="O4:R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sheetPr codeName="Sheet5" enableFormatConditionsCalculation="0">
    <pageSetUpPr fitToPage="1"/>
  </sheetPr>
  <dimension ref="B1:AI28"/>
  <sheetViews>
    <sheetView workbookViewId="0"/>
  </sheetViews>
  <sheetFormatPr defaultColWidth="8.85546875" defaultRowHeight="15.75"/>
  <cols>
    <col min="1" max="3" width="19.140625" style="133" customWidth="1"/>
    <col min="4" max="4" width="44.140625" style="133" bestFit="1" customWidth="1"/>
    <col min="5" max="5" width="20.5703125" style="133" bestFit="1" customWidth="1"/>
    <col min="6" max="7" width="19.140625" style="133" customWidth="1"/>
    <col min="8" max="8" width="5" style="133" customWidth="1"/>
    <col min="9" max="9" width="26.85546875" style="133" customWidth="1"/>
    <col min="10" max="10" width="44.140625" style="133" bestFit="1" customWidth="1"/>
    <col min="11" max="11" width="20.5703125" style="133" bestFit="1" customWidth="1"/>
    <col min="12" max="12" width="12.5703125" style="133" bestFit="1" customWidth="1"/>
    <col min="13" max="13" width="10.85546875" style="133" bestFit="1" customWidth="1"/>
    <col min="14" max="14" width="5" style="133" customWidth="1"/>
    <col min="15" max="15" width="27" style="133" customWidth="1"/>
    <col min="16" max="16" width="44.140625" style="133" bestFit="1" customWidth="1"/>
    <col min="17" max="17" width="14.28515625" style="133" bestFit="1" customWidth="1"/>
    <col min="18" max="18" width="12.5703125" style="133" bestFit="1" customWidth="1"/>
    <col min="19" max="19" width="10.85546875" style="133" bestFit="1" customWidth="1"/>
    <col min="20" max="20" width="4.42578125" style="133" customWidth="1"/>
    <col min="21" max="21" width="18.42578125" style="133" customWidth="1"/>
    <col min="22" max="22" width="32" style="133" bestFit="1" customWidth="1"/>
    <col min="23" max="23" width="14.28515625" style="133" bestFit="1" customWidth="1"/>
    <col min="24" max="24" width="12.5703125" style="133" bestFit="1" customWidth="1"/>
    <col min="25" max="25" width="10.85546875" style="133" bestFit="1" customWidth="1"/>
    <col min="26" max="27" width="11" style="133" bestFit="1" customWidth="1"/>
    <col min="28" max="28" width="4.42578125" style="133" customWidth="1"/>
    <col min="29" max="29" width="18.42578125" style="133" customWidth="1"/>
    <col min="30" max="30" width="31.85546875" style="133" customWidth="1"/>
    <col min="31" max="31" width="14.28515625" style="133" bestFit="1" customWidth="1"/>
    <col min="32" max="32" width="12.5703125" style="133" bestFit="1" customWidth="1"/>
    <col min="33" max="33" width="10.85546875" style="133" bestFit="1" customWidth="1"/>
    <col min="34" max="35" width="11" style="133" bestFit="1" customWidth="1"/>
    <col min="36" max="36" width="8.85546875" style="133"/>
    <col min="37" max="37" width="10.7109375" style="133" customWidth="1"/>
    <col min="38" max="38" width="10.85546875" style="133" customWidth="1"/>
    <col min="39" max="16384" width="8.85546875" style="133"/>
  </cols>
  <sheetData>
    <row r="1" spans="2:35" ht="18.75">
      <c r="B1" s="201" t="s">
        <v>116</v>
      </c>
      <c r="E1" s="134" t="s">
        <v>90</v>
      </c>
      <c r="H1" s="201"/>
      <c r="K1" s="134" t="s">
        <v>90</v>
      </c>
    </row>
    <row r="2" spans="2:35">
      <c r="B2" s="1" t="str">
        <f>'Table of Contents'!B2</f>
        <v>Final - Adopted by RTF on October 15, Approved by Council on November 5.</v>
      </c>
      <c r="E2" s="135">
        <v>160000</v>
      </c>
      <c r="H2" s="1"/>
      <c r="K2" s="135">
        <v>160000</v>
      </c>
    </row>
    <row r="3" spans="2:35">
      <c r="B3" s="34"/>
      <c r="H3" s="34"/>
    </row>
    <row r="4" spans="2:35">
      <c r="C4" s="136" t="s">
        <v>250</v>
      </c>
      <c r="F4" s="137">
        <f>G21</f>
        <v>2.7900000000000005</v>
      </c>
      <c r="G4" s="138" t="s">
        <v>32</v>
      </c>
      <c r="I4" s="136" t="s">
        <v>158</v>
      </c>
      <c r="L4" s="137">
        <f>M21</f>
        <v>2.6200000000000006</v>
      </c>
      <c r="M4" s="138" t="s">
        <v>32</v>
      </c>
      <c r="O4" s="136" t="s">
        <v>198</v>
      </c>
      <c r="R4" s="137">
        <f>S20</f>
        <v>2.3539999999999996</v>
      </c>
      <c r="S4" s="138" t="s">
        <v>32</v>
      </c>
      <c r="U4" s="136" t="s">
        <v>31</v>
      </c>
      <c r="Z4" s="137">
        <f>Y20</f>
        <v>2.4799999999999991</v>
      </c>
      <c r="AA4" s="138" t="s">
        <v>32</v>
      </c>
      <c r="AC4" s="136" t="s">
        <v>33</v>
      </c>
      <c r="AH4" s="139">
        <f>AG19</f>
        <v>1.2800000000000002</v>
      </c>
      <c r="AI4" s="140" t="s">
        <v>32</v>
      </c>
    </row>
    <row r="6" spans="2:35" ht="64.5" customHeight="1">
      <c r="C6" s="141" t="s">
        <v>34</v>
      </c>
      <c r="D6" s="141" t="s">
        <v>35</v>
      </c>
      <c r="E6" s="141" t="s">
        <v>36</v>
      </c>
      <c r="F6" s="141" t="s">
        <v>37</v>
      </c>
      <c r="G6" s="141" t="s">
        <v>38</v>
      </c>
      <c r="I6" s="141" t="s">
        <v>34</v>
      </c>
      <c r="J6" s="141" t="s">
        <v>35</v>
      </c>
      <c r="K6" s="141" t="s">
        <v>36</v>
      </c>
      <c r="L6" s="141" t="s">
        <v>37</v>
      </c>
      <c r="M6" s="141" t="s">
        <v>38</v>
      </c>
      <c r="O6" s="141" t="s">
        <v>34</v>
      </c>
      <c r="P6" s="141" t="s">
        <v>35</v>
      </c>
      <c r="Q6" s="141" t="s">
        <v>36</v>
      </c>
      <c r="R6" s="141" t="s">
        <v>37</v>
      </c>
      <c r="S6" s="141" t="s">
        <v>38</v>
      </c>
      <c r="U6" s="141" t="s">
        <v>34</v>
      </c>
      <c r="V6" s="141" t="s">
        <v>35</v>
      </c>
      <c r="W6" s="141" t="s">
        <v>36</v>
      </c>
      <c r="X6" s="141" t="s">
        <v>37</v>
      </c>
      <c r="Y6" s="141" t="s">
        <v>38</v>
      </c>
      <c r="Z6" s="141" t="s">
        <v>39</v>
      </c>
      <c r="AA6" s="141" t="s">
        <v>40</v>
      </c>
      <c r="AC6" s="141" t="s">
        <v>34</v>
      </c>
      <c r="AD6" s="141" t="s">
        <v>35</v>
      </c>
      <c r="AE6" s="141" t="s">
        <v>36</v>
      </c>
      <c r="AF6" s="141" t="s">
        <v>37</v>
      </c>
      <c r="AG6" s="141" t="s">
        <v>38</v>
      </c>
      <c r="AH6" s="141" t="s">
        <v>39</v>
      </c>
      <c r="AI6" s="141" t="s">
        <v>40</v>
      </c>
    </row>
    <row r="7" spans="2:35">
      <c r="C7" s="142" t="s">
        <v>41</v>
      </c>
      <c r="D7" s="142" t="s">
        <v>91</v>
      </c>
      <c r="E7" s="143">
        <v>0.05</v>
      </c>
      <c r="F7" s="143">
        <v>0.02</v>
      </c>
      <c r="G7" s="144">
        <f t="shared" ref="G7:G12" si="0">SUM(E7:F7)</f>
        <v>7.0000000000000007E-2</v>
      </c>
      <c r="I7" s="142" t="s">
        <v>41</v>
      </c>
      <c r="J7" s="142" t="s">
        <v>91</v>
      </c>
      <c r="K7" s="143">
        <v>0.1</v>
      </c>
      <c r="L7" s="143">
        <v>0.2</v>
      </c>
      <c r="M7" s="144">
        <f t="shared" ref="M7:M20" si="1">SUM(K7:L7)</f>
        <v>0.30000000000000004</v>
      </c>
      <c r="O7" s="142" t="s">
        <v>41</v>
      </c>
      <c r="P7" s="142" t="s">
        <v>91</v>
      </c>
      <c r="Q7" s="143">
        <v>0.6</v>
      </c>
      <c r="R7" s="143">
        <v>0.2</v>
      </c>
      <c r="S7" s="144">
        <v>0.8</v>
      </c>
      <c r="U7" s="142" t="s">
        <v>41</v>
      </c>
      <c r="V7" s="142" t="s">
        <v>42</v>
      </c>
      <c r="W7" s="144">
        <v>0.4</v>
      </c>
      <c r="X7" s="144">
        <v>0.4</v>
      </c>
      <c r="Y7" s="144">
        <f t="shared" ref="Y7:Y19" si="2">SUM(W7:X7)</f>
        <v>0.8</v>
      </c>
      <c r="Z7" s="142"/>
      <c r="AA7" s="142"/>
      <c r="AC7" s="142" t="s">
        <v>41</v>
      </c>
      <c r="AD7" s="142" t="s">
        <v>42</v>
      </c>
      <c r="AE7" s="144">
        <v>0.2</v>
      </c>
      <c r="AF7" s="144">
        <v>0.1</v>
      </c>
      <c r="AG7" s="144">
        <f t="shared" ref="AG7:AG17" si="3">SUM(AE7:AF7)</f>
        <v>0.30000000000000004</v>
      </c>
      <c r="AH7" s="142"/>
      <c r="AI7" s="142"/>
    </row>
    <row r="8" spans="2:35">
      <c r="C8" s="142" t="s">
        <v>43</v>
      </c>
      <c r="D8" s="142" t="s">
        <v>44</v>
      </c>
      <c r="E8" s="143">
        <v>0.1</v>
      </c>
      <c r="F8" s="143">
        <v>0.25</v>
      </c>
      <c r="G8" s="144">
        <f t="shared" si="0"/>
        <v>0.35</v>
      </c>
      <c r="I8" s="142" t="s">
        <v>43</v>
      </c>
      <c r="J8" s="142" t="s">
        <v>44</v>
      </c>
      <c r="K8" s="143">
        <v>0.1</v>
      </c>
      <c r="L8" s="143">
        <v>0.25</v>
      </c>
      <c r="M8" s="144">
        <f t="shared" si="1"/>
        <v>0.35</v>
      </c>
      <c r="O8" s="142" t="s">
        <v>43</v>
      </c>
      <c r="P8" s="142" t="s">
        <v>44</v>
      </c>
      <c r="Q8" s="143">
        <v>0.2</v>
      </c>
      <c r="R8" s="143">
        <v>0.25</v>
      </c>
      <c r="S8" s="144">
        <v>0.45</v>
      </c>
      <c r="U8" s="142" t="s">
        <v>43</v>
      </c>
      <c r="V8" s="142" t="s">
        <v>44</v>
      </c>
      <c r="W8" s="144">
        <v>0.3</v>
      </c>
      <c r="X8" s="144">
        <v>0.2</v>
      </c>
      <c r="Y8" s="144">
        <f t="shared" si="2"/>
        <v>0.5</v>
      </c>
      <c r="Z8" s="142"/>
      <c r="AA8" s="142"/>
      <c r="AC8" s="142" t="s">
        <v>43</v>
      </c>
      <c r="AD8" s="142" t="s">
        <v>44</v>
      </c>
      <c r="AE8" s="144">
        <v>0.15</v>
      </c>
      <c r="AF8" s="144">
        <v>0.25</v>
      </c>
      <c r="AG8" s="144">
        <f t="shared" si="3"/>
        <v>0.4</v>
      </c>
      <c r="AH8" s="142"/>
      <c r="AI8" s="142"/>
    </row>
    <row r="9" spans="2:35">
      <c r="C9" s="142" t="s">
        <v>45</v>
      </c>
      <c r="D9" s="142" t="s">
        <v>253</v>
      </c>
      <c r="E9" s="143">
        <v>0.15</v>
      </c>
      <c r="F9" s="143">
        <v>0.25</v>
      </c>
      <c r="G9" s="144">
        <f t="shared" si="0"/>
        <v>0.4</v>
      </c>
      <c r="I9" s="142" t="s">
        <v>45</v>
      </c>
      <c r="J9" s="142" t="s">
        <v>46</v>
      </c>
      <c r="K9" s="143">
        <v>0.15</v>
      </c>
      <c r="L9" s="143">
        <v>0.25</v>
      </c>
      <c r="M9" s="144">
        <f t="shared" si="1"/>
        <v>0.4</v>
      </c>
      <c r="O9" s="142" t="s">
        <v>45</v>
      </c>
      <c r="P9" s="142" t="s">
        <v>46</v>
      </c>
      <c r="Q9" s="143">
        <v>0.254</v>
      </c>
      <c r="R9" s="143">
        <v>0.35</v>
      </c>
      <c r="S9" s="144">
        <v>0.60399999999999998</v>
      </c>
      <c r="U9" s="142" t="s">
        <v>45</v>
      </c>
      <c r="V9" s="142" t="s">
        <v>46</v>
      </c>
      <c r="W9" s="144">
        <v>0.33</v>
      </c>
      <c r="X9" s="144">
        <v>0.33</v>
      </c>
      <c r="Y9" s="144">
        <f t="shared" si="2"/>
        <v>0.66</v>
      </c>
      <c r="Z9" s="142"/>
      <c r="AA9" s="142"/>
      <c r="AC9" s="142" t="s">
        <v>45</v>
      </c>
      <c r="AD9" s="142" t="s">
        <v>46</v>
      </c>
      <c r="AE9" s="144">
        <v>0.15</v>
      </c>
      <c r="AF9" s="144">
        <v>0.15</v>
      </c>
      <c r="AG9" s="144">
        <f t="shared" si="3"/>
        <v>0.3</v>
      </c>
      <c r="AH9" s="142"/>
      <c r="AI9" s="142"/>
    </row>
    <row r="10" spans="2:35">
      <c r="C10" s="145" t="s">
        <v>47</v>
      </c>
      <c r="D10" s="145" t="s">
        <v>48</v>
      </c>
      <c r="E10" s="146">
        <v>0</v>
      </c>
      <c r="F10" s="144">
        <v>0.02</v>
      </c>
      <c r="G10" s="146">
        <f t="shared" si="0"/>
        <v>0.02</v>
      </c>
      <c r="I10" s="145" t="s">
        <v>47</v>
      </c>
      <c r="J10" s="145" t="s">
        <v>48</v>
      </c>
      <c r="K10" s="146">
        <v>0</v>
      </c>
      <c r="L10" s="144">
        <v>0.02</v>
      </c>
      <c r="M10" s="146">
        <f t="shared" si="1"/>
        <v>0.02</v>
      </c>
      <c r="O10" s="145" t="s">
        <v>47</v>
      </c>
      <c r="P10" s="145" t="s">
        <v>48</v>
      </c>
      <c r="Q10" s="146">
        <v>0</v>
      </c>
      <c r="R10" s="144">
        <v>0.01</v>
      </c>
      <c r="S10" s="146">
        <v>0.01</v>
      </c>
      <c r="U10" s="145" t="s">
        <v>47</v>
      </c>
      <c r="V10" s="145" t="s">
        <v>48</v>
      </c>
      <c r="W10" s="146">
        <v>0</v>
      </c>
      <c r="X10" s="144">
        <v>0.01</v>
      </c>
      <c r="Y10" s="146">
        <f t="shared" si="2"/>
        <v>0.01</v>
      </c>
      <c r="Z10" s="142"/>
      <c r="AA10" s="142"/>
      <c r="AC10" s="145" t="s">
        <v>47</v>
      </c>
      <c r="AD10" s="145" t="s">
        <v>48</v>
      </c>
      <c r="AE10" s="146">
        <v>0</v>
      </c>
      <c r="AF10" s="144">
        <v>0.02</v>
      </c>
      <c r="AG10" s="146">
        <f t="shared" si="3"/>
        <v>0.02</v>
      </c>
      <c r="AH10" s="142"/>
      <c r="AI10" s="142"/>
    </row>
    <row r="11" spans="2:35">
      <c r="C11" s="145" t="s">
        <v>187</v>
      </c>
      <c r="D11" s="142" t="s">
        <v>1</v>
      </c>
      <c r="E11" s="146">
        <v>0</v>
      </c>
      <c r="F11" s="144">
        <v>0.02</v>
      </c>
      <c r="G11" s="146">
        <f t="shared" si="0"/>
        <v>0.02</v>
      </c>
      <c r="I11" s="145" t="s">
        <v>187</v>
      </c>
      <c r="J11" s="142" t="s">
        <v>1</v>
      </c>
      <c r="K11" s="146">
        <v>0</v>
      </c>
      <c r="L11" s="144">
        <v>0.02</v>
      </c>
      <c r="M11" s="146">
        <f t="shared" si="1"/>
        <v>0.02</v>
      </c>
      <c r="O11" s="145" t="s">
        <v>187</v>
      </c>
      <c r="P11" s="142" t="s">
        <v>1</v>
      </c>
      <c r="Q11" s="146">
        <v>0</v>
      </c>
      <c r="R11" s="144">
        <v>0.01</v>
      </c>
      <c r="S11" s="146">
        <v>0.01</v>
      </c>
      <c r="U11" s="145" t="s">
        <v>49</v>
      </c>
      <c r="V11" s="142" t="s">
        <v>1</v>
      </c>
      <c r="W11" s="146">
        <v>0</v>
      </c>
      <c r="X11" s="144">
        <v>0.01</v>
      </c>
      <c r="Y11" s="146">
        <f t="shared" si="2"/>
        <v>0.01</v>
      </c>
      <c r="Z11" s="142"/>
      <c r="AA11" s="142"/>
      <c r="AC11" s="145" t="s">
        <v>2</v>
      </c>
      <c r="AD11" s="142" t="s">
        <v>1</v>
      </c>
      <c r="AE11" s="146">
        <v>0</v>
      </c>
      <c r="AF11" s="144">
        <v>0.05</v>
      </c>
      <c r="AG11" s="146">
        <f t="shared" si="3"/>
        <v>0.05</v>
      </c>
      <c r="AH11" s="142"/>
      <c r="AI11" s="142"/>
    </row>
    <row r="12" spans="2:35">
      <c r="C12" s="145" t="s">
        <v>254</v>
      </c>
      <c r="D12" s="142" t="s">
        <v>4</v>
      </c>
      <c r="E12" s="146">
        <v>0.5</v>
      </c>
      <c r="F12" s="144">
        <v>0</v>
      </c>
      <c r="G12" s="146">
        <f t="shared" si="0"/>
        <v>0.5</v>
      </c>
      <c r="I12" s="145" t="s">
        <v>254</v>
      </c>
      <c r="J12" s="142" t="s">
        <v>4</v>
      </c>
      <c r="K12" s="146">
        <v>0.1</v>
      </c>
      <c r="L12" s="144">
        <v>0</v>
      </c>
      <c r="M12" s="146">
        <f t="shared" si="1"/>
        <v>0.1</v>
      </c>
      <c r="O12" s="145" t="s">
        <v>254</v>
      </c>
      <c r="P12" s="142" t="s">
        <v>4</v>
      </c>
      <c r="Q12" s="146">
        <v>0.04</v>
      </c>
      <c r="R12" s="144">
        <v>0</v>
      </c>
      <c r="S12" s="146">
        <v>0.04</v>
      </c>
      <c r="U12" s="145" t="s">
        <v>3</v>
      </c>
      <c r="V12" s="142" t="s">
        <v>4</v>
      </c>
      <c r="W12" s="146">
        <v>0.04</v>
      </c>
      <c r="X12" s="144">
        <v>0</v>
      </c>
      <c r="Y12" s="146">
        <f t="shared" si="2"/>
        <v>0.04</v>
      </c>
      <c r="Z12" s="142"/>
      <c r="AA12" s="142"/>
      <c r="AC12" s="145" t="s">
        <v>144</v>
      </c>
      <c r="AD12" s="142" t="s">
        <v>5</v>
      </c>
      <c r="AE12" s="146">
        <v>0</v>
      </c>
      <c r="AF12" s="144">
        <v>0.02</v>
      </c>
      <c r="AG12" s="146">
        <f t="shared" si="3"/>
        <v>0.02</v>
      </c>
      <c r="AH12" s="142"/>
      <c r="AI12" s="142"/>
    </row>
    <row r="13" spans="2:35">
      <c r="C13" s="145" t="s">
        <v>8</v>
      </c>
      <c r="D13" s="142" t="s">
        <v>145</v>
      </c>
      <c r="E13" s="146">
        <v>0.05</v>
      </c>
      <c r="F13" s="144">
        <v>0</v>
      </c>
      <c r="G13" s="146">
        <f t="shared" ref="G13:G18" si="4">SUM(E13:F13)</f>
        <v>0.05</v>
      </c>
      <c r="I13" s="145" t="s">
        <v>144</v>
      </c>
      <c r="J13" s="142" t="s">
        <v>5</v>
      </c>
      <c r="K13" s="146">
        <v>0</v>
      </c>
      <c r="L13" s="144">
        <v>0.02</v>
      </c>
      <c r="M13" s="146">
        <f t="shared" si="1"/>
        <v>0.02</v>
      </c>
      <c r="O13" s="145" t="s">
        <v>144</v>
      </c>
      <c r="P13" s="142" t="s">
        <v>5</v>
      </c>
      <c r="Q13" s="146">
        <v>0</v>
      </c>
      <c r="R13" s="144">
        <v>0.02</v>
      </c>
      <c r="S13" s="146">
        <v>0.02</v>
      </c>
      <c r="U13" s="145" t="s">
        <v>144</v>
      </c>
      <c r="V13" s="142" t="s">
        <v>5</v>
      </c>
      <c r="W13" s="146">
        <v>0</v>
      </c>
      <c r="X13" s="144">
        <v>0.02</v>
      </c>
      <c r="Y13" s="146">
        <f t="shared" si="2"/>
        <v>0.02</v>
      </c>
      <c r="Z13" s="142"/>
      <c r="AA13" s="142"/>
      <c r="AC13" s="142" t="s">
        <v>6</v>
      </c>
      <c r="AD13" s="142" t="s">
        <v>7</v>
      </c>
      <c r="AE13" s="144">
        <v>0.05</v>
      </c>
      <c r="AF13" s="144">
        <v>0</v>
      </c>
      <c r="AG13" s="144">
        <f t="shared" si="3"/>
        <v>0.05</v>
      </c>
      <c r="AH13" s="142"/>
      <c r="AI13" s="142"/>
    </row>
    <row r="14" spans="2:35">
      <c r="C14" s="142" t="s">
        <v>6</v>
      </c>
      <c r="D14" s="142" t="s">
        <v>7</v>
      </c>
      <c r="E14" s="144">
        <v>0.1</v>
      </c>
      <c r="F14" s="144">
        <v>0</v>
      </c>
      <c r="G14" s="144">
        <f t="shared" si="4"/>
        <v>0.1</v>
      </c>
      <c r="I14" s="145" t="s">
        <v>8</v>
      </c>
      <c r="J14" s="142" t="s">
        <v>145</v>
      </c>
      <c r="K14" s="146">
        <v>0.05</v>
      </c>
      <c r="L14" s="144">
        <v>0</v>
      </c>
      <c r="M14" s="146">
        <f t="shared" si="1"/>
        <v>0.05</v>
      </c>
      <c r="O14" s="145" t="s">
        <v>8</v>
      </c>
      <c r="P14" s="142" t="s">
        <v>145</v>
      </c>
      <c r="Q14" s="146">
        <v>0.05</v>
      </c>
      <c r="R14" s="144">
        <v>0</v>
      </c>
      <c r="S14" s="146">
        <v>0.05</v>
      </c>
      <c r="U14" s="145" t="s">
        <v>8</v>
      </c>
      <c r="V14" s="142" t="s">
        <v>145</v>
      </c>
      <c r="W14" s="146">
        <v>0.05</v>
      </c>
      <c r="X14" s="144">
        <v>0</v>
      </c>
      <c r="Y14" s="146">
        <f t="shared" si="2"/>
        <v>0.05</v>
      </c>
      <c r="Z14" s="142"/>
      <c r="AA14" s="142"/>
      <c r="AC14" s="142" t="s">
        <v>9</v>
      </c>
      <c r="AD14" s="142" t="s">
        <v>10</v>
      </c>
      <c r="AE14" s="144">
        <v>0.1</v>
      </c>
      <c r="AF14" s="144">
        <v>0</v>
      </c>
      <c r="AG14" s="144">
        <f t="shared" si="3"/>
        <v>0.1</v>
      </c>
      <c r="AH14" s="142"/>
      <c r="AI14" s="142"/>
    </row>
    <row r="15" spans="2:35">
      <c r="C15" s="142" t="s">
        <v>13</v>
      </c>
      <c r="D15" s="142" t="s">
        <v>10</v>
      </c>
      <c r="E15" s="143">
        <v>0.1</v>
      </c>
      <c r="F15" s="143">
        <v>0</v>
      </c>
      <c r="G15" s="143">
        <f t="shared" si="4"/>
        <v>0.1</v>
      </c>
      <c r="I15" s="142" t="s">
        <v>6</v>
      </c>
      <c r="J15" s="142" t="s">
        <v>7</v>
      </c>
      <c r="K15" s="144">
        <v>0.1</v>
      </c>
      <c r="L15" s="144">
        <v>0</v>
      </c>
      <c r="M15" s="144">
        <f t="shared" si="1"/>
        <v>0.1</v>
      </c>
      <c r="O15" s="142" t="s">
        <v>6</v>
      </c>
      <c r="P15" s="142" t="s">
        <v>7</v>
      </c>
      <c r="Q15" s="144">
        <v>0.1</v>
      </c>
      <c r="R15" s="144">
        <v>0</v>
      </c>
      <c r="S15" s="144">
        <v>0.1</v>
      </c>
      <c r="U15" s="142" t="s">
        <v>6</v>
      </c>
      <c r="V15" s="142" t="s">
        <v>7</v>
      </c>
      <c r="W15" s="144">
        <v>0.05</v>
      </c>
      <c r="X15" s="144">
        <v>0</v>
      </c>
      <c r="Y15" s="144">
        <f t="shared" si="2"/>
        <v>0.05</v>
      </c>
      <c r="Z15" s="142"/>
      <c r="AA15" s="142"/>
      <c r="AC15" s="142" t="s">
        <v>11</v>
      </c>
      <c r="AD15" s="142" t="s">
        <v>12</v>
      </c>
      <c r="AE15" s="144">
        <v>0.01</v>
      </c>
      <c r="AF15" s="144">
        <v>0</v>
      </c>
      <c r="AG15" s="144">
        <f t="shared" si="3"/>
        <v>0.01</v>
      </c>
      <c r="AH15" s="142"/>
      <c r="AI15" s="142"/>
    </row>
    <row r="16" spans="2:35">
      <c r="C16" s="142" t="s">
        <v>11</v>
      </c>
      <c r="D16" s="142" t="s">
        <v>16</v>
      </c>
      <c r="E16" s="143">
        <v>7.0000000000000007E-2</v>
      </c>
      <c r="F16" s="143">
        <v>0</v>
      </c>
      <c r="G16" s="143">
        <f t="shared" si="4"/>
        <v>7.0000000000000007E-2</v>
      </c>
      <c r="I16" s="142" t="s">
        <v>13</v>
      </c>
      <c r="J16" s="142" t="s">
        <v>10</v>
      </c>
      <c r="K16" s="143">
        <v>0.1</v>
      </c>
      <c r="L16" s="143">
        <v>0</v>
      </c>
      <c r="M16" s="143">
        <f t="shared" si="1"/>
        <v>0.1</v>
      </c>
      <c r="O16" s="142" t="s">
        <v>13</v>
      </c>
      <c r="P16" s="142" t="s">
        <v>10</v>
      </c>
      <c r="Q16" s="143">
        <v>0.12</v>
      </c>
      <c r="R16" s="143">
        <v>0</v>
      </c>
      <c r="S16" s="143">
        <v>0.12</v>
      </c>
      <c r="U16" s="142" t="s">
        <v>13</v>
      </c>
      <c r="V16" s="142" t="s">
        <v>10</v>
      </c>
      <c r="W16" s="143">
        <v>0.15</v>
      </c>
      <c r="X16" s="143">
        <v>0</v>
      </c>
      <c r="Y16" s="143">
        <f t="shared" si="2"/>
        <v>0.15</v>
      </c>
      <c r="Z16" s="142"/>
      <c r="AA16" s="142"/>
      <c r="AC16" s="142" t="s">
        <v>14</v>
      </c>
      <c r="AD16" s="142" t="s">
        <v>15</v>
      </c>
      <c r="AE16" s="144">
        <v>0.01</v>
      </c>
      <c r="AF16" s="144">
        <v>0</v>
      </c>
      <c r="AG16" s="144">
        <f t="shared" si="3"/>
        <v>0.01</v>
      </c>
      <c r="AH16" s="142"/>
      <c r="AI16" s="142"/>
    </row>
    <row r="17" spans="3:35">
      <c r="C17" s="142" t="s">
        <v>188</v>
      </c>
      <c r="D17" s="142" t="s">
        <v>18</v>
      </c>
      <c r="E17" s="143">
        <v>0.05</v>
      </c>
      <c r="F17" s="143">
        <v>0</v>
      </c>
      <c r="G17" s="143">
        <f t="shared" si="4"/>
        <v>0.05</v>
      </c>
      <c r="I17" s="142" t="s">
        <v>11</v>
      </c>
      <c r="J17" s="142" t="s">
        <v>16</v>
      </c>
      <c r="K17" s="143">
        <v>7.0000000000000007E-2</v>
      </c>
      <c r="L17" s="143">
        <v>0</v>
      </c>
      <c r="M17" s="143">
        <f t="shared" si="1"/>
        <v>7.0000000000000007E-2</v>
      </c>
      <c r="O17" s="142" t="s">
        <v>11</v>
      </c>
      <c r="P17" s="142" t="s">
        <v>16</v>
      </c>
      <c r="Q17" s="143">
        <v>7.0000000000000007E-2</v>
      </c>
      <c r="R17" s="143">
        <v>0</v>
      </c>
      <c r="S17" s="143">
        <v>7.0000000000000007E-2</v>
      </c>
      <c r="U17" s="142" t="s">
        <v>11</v>
      </c>
      <c r="V17" s="142" t="s">
        <v>16</v>
      </c>
      <c r="W17" s="143">
        <v>7.0000000000000007E-2</v>
      </c>
      <c r="X17" s="143">
        <v>0</v>
      </c>
      <c r="Y17" s="143">
        <f t="shared" si="2"/>
        <v>7.0000000000000007E-2</v>
      </c>
      <c r="Z17" s="142"/>
      <c r="AA17" s="142"/>
      <c r="AC17" s="142" t="s">
        <v>17</v>
      </c>
      <c r="AD17" s="142" t="s">
        <v>67</v>
      </c>
      <c r="AE17" s="144">
        <v>0.02</v>
      </c>
      <c r="AF17" s="144">
        <v>0</v>
      </c>
      <c r="AG17" s="144">
        <f t="shared" si="3"/>
        <v>0.02</v>
      </c>
      <c r="AH17" s="142"/>
      <c r="AI17" s="142"/>
    </row>
    <row r="18" spans="3:35">
      <c r="C18" s="142" t="s">
        <v>17</v>
      </c>
      <c r="D18" s="142" t="s">
        <v>67</v>
      </c>
      <c r="E18" s="143">
        <v>0.04</v>
      </c>
      <c r="F18" s="143">
        <v>0</v>
      </c>
      <c r="G18" s="143">
        <f t="shared" si="4"/>
        <v>0.04</v>
      </c>
      <c r="I18" s="142" t="s">
        <v>188</v>
      </c>
      <c r="J18" s="142" t="s">
        <v>18</v>
      </c>
      <c r="K18" s="143">
        <v>0.05</v>
      </c>
      <c r="L18" s="143">
        <v>0</v>
      </c>
      <c r="M18" s="143">
        <f t="shared" si="1"/>
        <v>0.05</v>
      </c>
      <c r="O18" s="142" t="s">
        <v>188</v>
      </c>
      <c r="P18" s="142" t="s">
        <v>18</v>
      </c>
      <c r="Q18" s="143">
        <v>0.05</v>
      </c>
      <c r="R18" s="143">
        <v>0</v>
      </c>
      <c r="S18" s="143">
        <v>0.05</v>
      </c>
      <c r="U18" s="142" t="s">
        <v>14</v>
      </c>
      <c r="V18" s="142" t="s">
        <v>18</v>
      </c>
      <c r="W18" s="143">
        <v>0.09</v>
      </c>
      <c r="X18" s="143">
        <v>0</v>
      </c>
      <c r="Y18" s="143">
        <f t="shared" si="2"/>
        <v>0.09</v>
      </c>
      <c r="Z18" s="142"/>
      <c r="AA18" s="142"/>
    </row>
    <row r="19" spans="3:35">
      <c r="C19" s="142" t="s">
        <v>252</v>
      </c>
      <c r="D19" s="142" t="s">
        <v>251</v>
      </c>
      <c r="E19" s="143">
        <v>0.02</v>
      </c>
      <c r="F19" s="143">
        <v>0</v>
      </c>
      <c r="G19" s="143">
        <f t="shared" ref="G19" si="5">SUM(E19:F19)</f>
        <v>0.02</v>
      </c>
      <c r="I19" s="142" t="s">
        <v>17</v>
      </c>
      <c r="J19" s="142" t="s">
        <v>67</v>
      </c>
      <c r="K19" s="143">
        <v>0.04</v>
      </c>
      <c r="L19" s="143">
        <v>0</v>
      </c>
      <c r="M19" s="143">
        <f t="shared" si="1"/>
        <v>0.04</v>
      </c>
      <c r="O19" s="142" t="s">
        <v>17</v>
      </c>
      <c r="P19" s="142" t="s">
        <v>67</v>
      </c>
      <c r="Q19" s="143">
        <v>0.03</v>
      </c>
      <c r="R19" s="143">
        <v>0</v>
      </c>
      <c r="S19" s="143">
        <v>0.03</v>
      </c>
      <c r="U19" s="142" t="s">
        <v>17</v>
      </c>
      <c r="V19" s="142" t="s">
        <v>67</v>
      </c>
      <c r="W19" s="143">
        <v>0.03</v>
      </c>
      <c r="X19" s="143">
        <v>0</v>
      </c>
      <c r="Y19" s="143">
        <f t="shared" si="2"/>
        <v>0.03</v>
      </c>
      <c r="Z19" s="142"/>
      <c r="AA19" s="142"/>
      <c r="AE19" s="147">
        <f>SUM(AE7:AE17)</f>
        <v>0.69000000000000006</v>
      </c>
      <c r="AF19" s="147">
        <f>SUM(AF7:AF17)</f>
        <v>0.59000000000000008</v>
      </c>
      <c r="AG19" s="147">
        <f>SUM(AG7:AG17)</f>
        <v>1.2800000000000002</v>
      </c>
      <c r="AH19" s="148">
        <f>100000*1.4</f>
        <v>140000</v>
      </c>
      <c r="AI19" s="148">
        <f>AH19*AG19</f>
        <v>179200.00000000003</v>
      </c>
    </row>
    <row r="20" spans="3:35">
      <c r="C20" s="149" t="s">
        <v>196</v>
      </c>
      <c r="D20" s="149" t="s">
        <v>197</v>
      </c>
      <c r="E20" s="150">
        <v>0.8</v>
      </c>
      <c r="F20" s="150">
        <v>0.2</v>
      </c>
      <c r="G20" s="150">
        <f>SUM(E20:F20)</f>
        <v>1</v>
      </c>
      <c r="I20" s="149" t="s">
        <v>196</v>
      </c>
      <c r="J20" s="149" t="s">
        <v>197</v>
      </c>
      <c r="K20" s="150">
        <v>0.4</v>
      </c>
      <c r="L20" s="150">
        <v>0.6</v>
      </c>
      <c r="M20" s="150">
        <f t="shared" si="1"/>
        <v>1</v>
      </c>
      <c r="P20" s="151" t="s">
        <v>32</v>
      </c>
      <c r="Q20" s="152">
        <v>1.5140000000000005</v>
      </c>
      <c r="R20" s="152">
        <v>0.84000000000000008</v>
      </c>
      <c r="S20" s="152">
        <v>2.3539999999999996</v>
      </c>
      <c r="V20" s="153" t="s">
        <v>32</v>
      </c>
      <c r="W20" s="154">
        <f>SUM(W7:W19)</f>
        <v>1.5100000000000002</v>
      </c>
      <c r="X20" s="154">
        <f t="shared" ref="X20:Y20" si="6">SUM(X7:X19)</f>
        <v>0.9700000000000002</v>
      </c>
      <c r="Y20" s="154">
        <f t="shared" si="6"/>
        <v>2.4799999999999991</v>
      </c>
      <c r="Z20" s="155">
        <v>160000</v>
      </c>
      <c r="AA20" s="155">
        <f>Z20*Y20</f>
        <v>396799.99999999988</v>
      </c>
      <c r="AE20" s="156">
        <f>AE19/$AG$19</f>
        <v>0.53906249999999989</v>
      </c>
      <c r="AF20" s="156">
        <f>AF19/$AG$19</f>
        <v>0.4609375</v>
      </c>
    </row>
    <row r="21" spans="3:35">
      <c r="D21" s="157" t="s">
        <v>32</v>
      </c>
      <c r="E21" s="152">
        <f>SUM(E7:E20)</f>
        <v>2.0300000000000002</v>
      </c>
      <c r="F21" s="152">
        <f>SUM(F7:F20)</f>
        <v>0.76</v>
      </c>
      <c r="G21" s="152">
        <f>SUM(G7:G20)</f>
        <v>2.7900000000000005</v>
      </c>
      <c r="J21" s="157" t="s">
        <v>32</v>
      </c>
      <c r="K21" s="152">
        <f>SUM(K7:K20)</f>
        <v>1.2600000000000002</v>
      </c>
      <c r="L21" s="152">
        <f>SUM(L7:L20)</f>
        <v>1.3599999999999999</v>
      </c>
      <c r="M21" s="152">
        <f>SUM(M7:M20)</f>
        <v>2.6200000000000006</v>
      </c>
      <c r="Q21" s="135">
        <v>242240.00000000009</v>
      </c>
      <c r="R21" s="135">
        <v>134400</v>
      </c>
      <c r="S21" s="135">
        <v>376639.99999999994</v>
      </c>
      <c r="W21" s="158">
        <f>W20*$Z$20</f>
        <v>241600.00000000003</v>
      </c>
      <c r="X21" s="158">
        <f t="shared" ref="X21:Y21" si="7">X20*$Z$20</f>
        <v>155200.00000000003</v>
      </c>
      <c r="Y21" s="158">
        <f t="shared" si="7"/>
        <v>396799.99999999988</v>
      </c>
      <c r="AE21" s="159">
        <f>AI19*AF20</f>
        <v>82600.000000000015</v>
      </c>
      <c r="AF21" s="159">
        <f>AI19*AE20</f>
        <v>96600</v>
      </c>
    </row>
    <row r="22" spans="3:35" ht="15" customHeight="1">
      <c r="E22" s="135">
        <f>E21*$K$2</f>
        <v>324800.00000000006</v>
      </c>
      <c r="F22" s="135">
        <f>F21*$K$2</f>
        <v>121600</v>
      </c>
      <c r="G22" s="135">
        <f>G21*$K$2</f>
        <v>446400.00000000006</v>
      </c>
      <c r="K22" s="135">
        <f>K21*$K$2</f>
        <v>201600.00000000003</v>
      </c>
      <c r="L22" s="135">
        <f>L21*$K$2</f>
        <v>217599.99999999997</v>
      </c>
      <c r="M22" s="135">
        <f>M21*$K$2</f>
        <v>419200.00000000012</v>
      </c>
    </row>
    <row r="23" spans="3:35" ht="15" customHeight="1"/>
    <row r="24" spans="3:35" ht="15" customHeight="1">
      <c r="D24" s="136" t="s">
        <v>249</v>
      </c>
      <c r="J24" s="136" t="s">
        <v>249</v>
      </c>
    </row>
    <row r="25" spans="3:35">
      <c r="D25" s="151" t="s">
        <v>32</v>
      </c>
      <c r="E25" s="152">
        <f>SUM(E7:E19)</f>
        <v>1.2300000000000002</v>
      </c>
      <c r="F25" s="152">
        <f>SUM(F7:F19)</f>
        <v>0.56000000000000005</v>
      </c>
      <c r="G25" s="152">
        <f>SUM(G7:G19)</f>
        <v>1.7900000000000005</v>
      </c>
      <c r="J25" s="151" t="s">
        <v>32</v>
      </c>
      <c r="K25" s="152">
        <f>SUM(K7:K19)</f>
        <v>0.8600000000000001</v>
      </c>
      <c r="L25" s="152">
        <f t="shared" ref="L25:M25" si="8">SUM(L7:L19)</f>
        <v>0.76</v>
      </c>
      <c r="M25" s="152">
        <f t="shared" si="8"/>
        <v>1.6200000000000006</v>
      </c>
    </row>
    <row r="26" spans="3:35">
      <c r="E26" s="135">
        <f>E25*$K$2</f>
        <v>196800.00000000003</v>
      </c>
      <c r="F26" s="135">
        <f>F25*$K$2</f>
        <v>89600.000000000015</v>
      </c>
      <c r="G26" s="135">
        <f>G25*$K$2</f>
        <v>286400.00000000006</v>
      </c>
      <c r="K26" s="135">
        <f>K25*$K$2</f>
        <v>137600.00000000003</v>
      </c>
      <c r="L26" s="135">
        <f>L25*$K$2</f>
        <v>121600</v>
      </c>
      <c r="M26" s="135">
        <f>M25*$K$2</f>
        <v>259200.00000000009</v>
      </c>
    </row>
    <row r="28" spans="3:35">
      <c r="F28" s="159">
        <f>F20*E2</f>
        <v>32000</v>
      </c>
      <c r="L28" s="159">
        <f>L20*K2</f>
        <v>96000</v>
      </c>
    </row>
  </sheetData>
  <phoneticPr fontId="7" type="noConversion"/>
  <pageMargins left="0.75" right="0.75" top="1" bottom="1" header="0.5" footer="0.5"/>
  <headerFooter alignWithMargins="0"/>
  <drawing r:id="rId1"/>
  <legacyDrawing r:id="rId2"/>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sheetPr codeName="Sheet6"/>
  <dimension ref="B1:S51"/>
  <sheetViews>
    <sheetView workbookViewId="0">
      <selection activeCell="B1" sqref="B1"/>
    </sheetView>
  </sheetViews>
  <sheetFormatPr defaultColWidth="8.85546875" defaultRowHeight="15.75"/>
  <cols>
    <col min="1" max="1" width="8.85546875" style="21"/>
    <col min="2" max="2" width="55" style="21" customWidth="1"/>
    <col min="3" max="3" width="13.7109375" style="21" customWidth="1"/>
    <col min="4" max="4" width="8.85546875" style="21"/>
    <col min="5" max="5" width="9.5703125" style="21" bestFit="1" customWidth="1"/>
    <col min="6" max="6" width="12.7109375" style="21" bestFit="1" customWidth="1"/>
    <col min="7" max="8" width="8.85546875" style="21"/>
    <col min="9" max="10" width="10.28515625" style="21" bestFit="1" customWidth="1"/>
    <col min="11" max="15" width="8.85546875" style="21"/>
    <col min="16" max="16" width="9.5703125" style="21" bestFit="1" customWidth="1"/>
    <col min="17" max="16384" width="8.85546875" style="21"/>
  </cols>
  <sheetData>
    <row r="1" spans="2:19" ht="18.75">
      <c r="B1" s="201" t="s">
        <v>118</v>
      </c>
    </row>
    <row r="2" spans="2:19">
      <c r="B2" s="1" t="str">
        <f>'Table of Contents'!B2</f>
        <v>Final - Adopted by RTF on October 15, Approved by Council on November 5.</v>
      </c>
    </row>
    <row r="4" spans="2:19" ht="63">
      <c r="B4" s="160" t="s">
        <v>146</v>
      </c>
      <c r="C4" s="160" t="s">
        <v>86</v>
      </c>
      <c r="D4" s="160" t="s">
        <v>19</v>
      </c>
      <c r="E4" s="161"/>
      <c r="F4" s="161"/>
      <c r="G4" s="161"/>
      <c r="H4" s="161"/>
      <c r="I4" s="161"/>
      <c r="J4" s="161"/>
      <c r="K4" s="161"/>
      <c r="L4" s="161"/>
      <c r="M4" s="161"/>
      <c r="N4" s="161"/>
      <c r="O4" s="34"/>
      <c r="P4" s="162" t="s">
        <v>73</v>
      </c>
      <c r="Q4" s="162" t="s">
        <v>28</v>
      </c>
      <c r="R4" s="162" t="s">
        <v>29</v>
      </c>
      <c r="S4" s="34"/>
    </row>
    <row r="5" spans="2:19">
      <c r="B5" s="21" t="s">
        <v>159</v>
      </c>
      <c r="C5" s="47">
        <v>15000</v>
      </c>
      <c r="D5" s="163" t="s">
        <v>84</v>
      </c>
      <c r="E5" s="163"/>
      <c r="F5" s="163"/>
      <c r="G5" s="163"/>
      <c r="H5" s="163"/>
      <c r="I5" s="163"/>
      <c r="J5" s="163"/>
      <c r="K5" s="163"/>
      <c r="L5" s="164"/>
      <c r="M5" s="164"/>
      <c r="N5" s="164"/>
      <c r="O5" s="165"/>
      <c r="P5" s="166">
        <v>6000</v>
      </c>
      <c r="Q5" s="166">
        <v>1000</v>
      </c>
      <c r="R5" s="166">
        <v>1000</v>
      </c>
      <c r="S5" s="34"/>
    </row>
    <row r="6" spans="2:19">
      <c r="B6" s="21" t="s">
        <v>160</v>
      </c>
      <c r="C6" s="47">
        <v>9000</v>
      </c>
      <c r="D6" s="163" t="s">
        <v>87</v>
      </c>
      <c r="E6" s="167"/>
      <c r="F6" s="167"/>
      <c r="G6" s="167"/>
      <c r="H6" s="167"/>
      <c r="I6" s="167"/>
      <c r="J6" s="167"/>
      <c r="K6" s="167"/>
      <c r="L6" s="31"/>
      <c r="M6" s="31"/>
      <c r="N6" s="31"/>
      <c r="O6" s="34"/>
      <c r="P6" s="166">
        <v>2000</v>
      </c>
      <c r="Q6" s="166">
        <v>1000</v>
      </c>
      <c r="R6" s="166"/>
      <c r="S6" s="34"/>
    </row>
    <row r="7" spans="2:19">
      <c r="B7" s="21" t="s">
        <v>161</v>
      </c>
      <c r="C7" s="47">
        <v>9000</v>
      </c>
      <c r="D7" s="163" t="s">
        <v>88</v>
      </c>
      <c r="E7" s="31"/>
      <c r="F7" s="31"/>
      <c r="G7" s="31"/>
      <c r="H7" s="31"/>
      <c r="I7" s="31"/>
      <c r="J7" s="31"/>
      <c r="K7" s="31"/>
      <c r="L7" s="31"/>
      <c r="M7" s="31"/>
      <c r="N7" s="31"/>
      <c r="O7" s="34"/>
      <c r="P7" s="166">
        <v>4000</v>
      </c>
      <c r="Q7" s="168">
        <v>2000</v>
      </c>
      <c r="R7" s="168">
        <v>2000</v>
      </c>
      <c r="S7" s="34"/>
    </row>
    <row r="8" spans="2:19">
      <c r="B8" s="21" t="s">
        <v>75</v>
      </c>
      <c r="C8" s="47">
        <v>9000</v>
      </c>
      <c r="D8" s="163" t="s">
        <v>147</v>
      </c>
      <c r="E8" s="31"/>
      <c r="F8" s="31"/>
      <c r="G8" s="31"/>
      <c r="H8" s="31"/>
      <c r="I8" s="31"/>
      <c r="J8" s="31"/>
      <c r="K8" s="31"/>
      <c r="L8" s="31"/>
      <c r="M8" s="31"/>
      <c r="N8" s="31"/>
      <c r="O8" s="34"/>
      <c r="P8" s="169">
        <v>12000</v>
      </c>
      <c r="Q8" s="169">
        <v>6000</v>
      </c>
      <c r="R8" s="169">
        <v>2000</v>
      </c>
      <c r="S8" s="34"/>
    </row>
    <row r="9" spans="2:19">
      <c r="B9" s="21" t="s">
        <v>104</v>
      </c>
      <c r="C9" s="47">
        <v>50000</v>
      </c>
      <c r="D9" s="163" t="s">
        <v>79</v>
      </c>
      <c r="E9" s="31"/>
      <c r="F9" s="31"/>
      <c r="G9" s="31"/>
      <c r="H9" s="31"/>
      <c r="I9" s="31"/>
      <c r="J9" s="31"/>
      <c r="K9" s="31"/>
      <c r="L9" s="31"/>
      <c r="M9" s="31"/>
      <c r="N9" s="31"/>
      <c r="O9" s="34"/>
      <c r="P9" s="169">
        <v>40000</v>
      </c>
      <c r="Q9" s="169">
        <v>6000</v>
      </c>
      <c r="R9" s="169">
        <v>3000</v>
      </c>
      <c r="S9" s="34"/>
    </row>
    <row r="10" spans="2:19">
      <c r="B10" s="21" t="s">
        <v>80</v>
      </c>
      <c r="C10" s="47">
        <v>20000</v>
      </c>
      <c r="D10" s="163" t="s">
        <v>78</v>
      </c>
      <c r="E10" s="167"/>
      <c r="F10" s="167"/>
      <c r="G10" s="167"/>
      <c r="H10" s="167"/>
      <c r="I10" s="167"/>
      <c r="J10" s="167"/>
      <c r="K10" s="167"/>
      <c r="L10" s="31"/>
      <c r="M10" s="31"/>
      <c r="N10" s="31"/>
      <c r="O10" s="34"/>
      <c r="P10" s="169">
        <v>15000</v>
      </c>
      <c r="Q10" s="169">
        <v>6000</v>
      </c>
      <c r="R10" s="169">
        <v>2000</v>
      </c>
      <c r="S10" s="34"/>
    </row>
    <row r="11" spans="2:19">
      <c r="B11" s="21" t="s">
        <v>175</v>
      </c>
      <c r="C11" s="47">
        <v>35000</v>
      </c>
      <c r="D11" s="163" t="s">
        <v>81</v>
      </c>
      <c r="E11" s="31"/>
      <c r="F11" s="31"/>
      <c r="G11" s="31"/>
      <c r="H11" s="31"/>
      <c r="I11" s="31"/>
      <c r="J11" s="31"/>
      <c r="K11" s="31"/>
      <c r="L11" s="31"/>
      <c r="M11" s="31"/>
      <c r="N11" s="31"/>
      <c r="O11" s="34"/>
      <c r="P11" s="166"/>
      <c r="Q11" s="166"/>
      <c r="R11" s="166"/>
      <c r="S11" s="34"/>
    </row>
    <row r="12" spans="2:19">
      <c r="B12" s="21" t="s">
        <v>174</v>
      </c>
      <c r="C12" s="47">
        <v>20000</v>
      </c>
      <c r="D12" s="163" t="s">
        <v>82</v>
      </c>
      <c r="E12" s="31"/>
      <c r="F12" s="31"/>
      <c r="G12" s="31"/>
      <c r="H12" s="31"/>
      <c r="I12" s="31"/>
      <c r="J12" s="31"/>
      <c r="K12" s="31"/>
      <c r="L12" s="31"/>
      <c r="M12" s="31"/>
      <c r="N12" s="31"/>
      <c r="O12" s="34"/>
      <c r="P12" s="166"/>
      <c r="Q12" s="166"/>
      <c r="R12" s="166"/>
      <c r="S12" s="34"/>
    </row>
    <row r="13" spans="2:19">
      <c r="B13" s="21" t="s">
        <v>176</v>
      </c>
      <c r="C13" s="47">
        <v>45000</v>
      </c>
      <c r="D13" s="163" t="s">
        <v>77</v>
      </c>
      <c r="E13" s="167"/>
      <c r="F13" s="167"/>
      <c r="G13" s="167"/>
      <c r="H13" s="167"/>
      <c r="I13" s="167"/>
      <c r="J13" s="167"/>
      <c r="K13" s="167"/>
      <c r="L13" s="31"/>
      <c r="M13" s="31"/>
      <c r="N13" s="31"/>
      <c r="O13" s="34"/>
      <c r="P13" s="166"/>
      <c r="Q13" s="166"/>
      <c r="R13" s="166"/>
      <c r="S13" s="34"/>
    </row>
    <row r="14" spans="2:19">
      <c r="B14" s="21" t="s">
        <v>173</v>
      </c>
      <c r="C14" s="47">
        <v>80000</v>
      </c>
      <c r="D14" s="163" t="s">
        <v>83</v>
      </c>
      <c r="E14" s="31"/>
      <c r="F14" s="31"/>
      <c r="G14" s="31"/>
      <c r="H14" s="31"/>
      <c r="I14" s="31"/>
      <c r="J14" s="31"/>
      <c r="K14" s="31"/>
      <c r="L14" s="31"/>
      <c r="M14" s="31"/>
      <c r="N14" s="31"/>
      <c r="O14" s="34"/>
      <c r="P14" s="166"/>
      <c r="Q14" s="166"/>
      <c r="R14" s="166"/>
      <c r="S14" s="34"/>
    </row>
    <row r="15" spans="2:19">
      <c r="B15" s="21" t="s">
        <v>76</v>
      </c>
      <c r="C15" s="47">
        <v>12000</v>
      </c>
      <c r="D15" s="163" t="s">
        <v>172</v>
      </c>
      <c r="E15" s="167"/>
      <c r="F15" s="167"/>
      <c r="G15" s="167"/>
      <c r="H15" s="167"/>
      <c r="I15" s="167"/>
      <c r="J15" s="167"/>
      <c r="K15" s="167"/>
      <c r="L15" s="167"/>
      <c r="M15" s="167"/>
      <c r="N15" s="167"/>
      <c r="O15" s="170"/>
      <c r="P15" s="166"/>
      <c r="Q15" s="166"/>
      <c r="R15" s="166"/>
      <c r="S15" s="34"/>
    </row>
    <row r="18" spans="2:14">
      <c r="B18" s="160" t="s">
        <v>89</v>
      </c>
      <c r="C18" s="160" t="s">
        <v>59</v>
      </c>
      <c r="D18" s="160" t="s">
        <v>55</v>
      </c>
      <c r="E18" s="160" t="s">
        <v>56</v>
      </c>
      <c r="F18" s="160" t="s">
        <v>57</v>
      </c>
      <c r="G18" s="160" t="s">
        <v>58</v>
      </c>
      <c r="H18" s="161"/>
      <c r="I18" s="160" t="s">
        <v>23</v>
      </c>
      <c r="J18" s="160" t="s">
        <v>24</v>
      </c>
      <c r="K18" s="161"/>
      <c r="L18" s="160" t="s">
        <v>25</v>
      </c>
      <c r="M18" s="160" t="s">
        <v>26</v>
      </c>
      <c r="N18" s="160" t="s">
        <v>27</v>
      </c>
    </row>
    <row r="19" spans="2:14">
      <c r="C19" s="57">
        <f>D19*12</f>
        <v>124800</v>
      </c>
      <c r="D19" s="57">
        <f>E19*(52/12)</f>
        <v>10400</v>
      </c>
      <c r="E19" s="57">
        <f>F19*5</f>
        <v>2400</v>
      </c>
      <c r="F19" s="57">
        <f>G19*8</f>
        <v>480</v>
      </c>
      <c r="G19" s="47">
        <v>60</v>
      </c>
      <c r="I19" s="57">
        <f>F19*52</f>
        <v>24960</v>
      </c>
      <c r="J19" s="57">
        <f>I19*2</f>
        <v>49920</v>
      </c>
      <c r="L19" s="57">
        <f>F19*12</f>
        <v>5760</v>
      </c>
      <c r="M19" s="57">
        <f>L19*2</f>
        <v>11520</v>
      </c>
      <c r="N19" s="57">
        <f>L19*3</f>
        <v>17280</v>
      </c>
    </row>
    <row r="20" spans="2:14">
      <c r="C20" s="57">
        <f>D20*12</f>
        <v>166400</v>
      </c>
      <c r="D20" s="57">
        <f>E20*(52/12)</f>
        <v>13866.666666666666</v>
      </c>
      <c r="E20" s="57">
        <f>F20*5</f>
        <v>3200</v>
      </c>
      <c r="F20" s="57">
        <f>G20*8</f>
        <v>640</v>
      </c>
      <c r="G20" s="47">
        <v>80</v>
      </c>
      <c r="I20" s="57">
        <f t="shared" ref="I20:I25" si="0">F20*52</f>
        <v>33280</v>
      </c>
      <c r="J20" s="57">
        <f t="shared" ref="J20:J25" si="1">I20*2</f>
        <v>66560</v>
      </c>
      <c r="L20" s="57">
        <f t="shared" ref="L20:L25" si="2">F20*12</f>
        <v>7680</v>
      </c>
      <c r="M20" s="57">
        <f t="shared" ref="M20:M25" si="3">L20*2</f>
        <v>15360</v>
      </c>
      <c r="N20" s="57">
        <f t="shared" ref="N20:N25" si="4">L20*3</f>
        <v>23040</v>
      </c>
    </row>
    <row r="21" spans="2:14">
      <c r="C21" s="57">
        <f t="shared" ref="C21:C25" si="5">D21*12</f>
        <v>208000</v>
      </c>
      <c r="D21" s="57">
        <f t="shared" ref="D21:D25" si="6">E21*(52/12)</f>
        <v>17333.333333333332</v>
      </c>
      <c r="E21" s="57">
        <f t="shared" ref="E21:E25" si="7">F21*5</f>
        <v>4000</v>
      </c>
      <c r="F21" s="57">
        <f t="shared" ref="F21:F25" si="8">G21*8</f>
        <v>800</v>
      </c>
      <c r="G21" s="47">
        <v>100</v>
      </c>
      <c r="I21" s="57">
        <f t="shared" si="0"/>
        <v>41600</v>
      </c>
      <c r="J21" s="57">
        <f t="shared" si="1"/>
        <v>83200</v>
      </c>
      <c r="L21" s="57">
        <f t="shared" si="2"/>
        <v>9600</v>
      </c>
      <c r="M21" s="57">
        <f t="shared" si="3"/>
        <v>19200</v>
      </c>
      <c r="N21" s="57">
        <f t="shared" si="4"/>
        <v>28800</v>
      </c>
    </row>
    <row r="22" spans="2:14">
      <c r="B22" s="171"/>
      <c r="C22" s="57">
        <f t="shared" si="5"/>
        <v>249600</v>
      </c>
      <c r="D22" s="57">
        <f t="shared" si="6"/>
        <v>20800</v>
      </c>
      <c r="E22" s="57">
        <f t="shared" si="7"/>
        <v>4800</v>
      </c>
      <c r="F22" s="57">
        <f t="shared" si="8"/>
        <v>960</v>
      </c>
      <c r="G22" s="47">
        <v>120</v>
      </c>
      <c r="I22" s="57">
        <f t="shared" si="0"/>
        <v>49920</v>
      </c>
      <c r="J22" s="57">
        <f t="shared" si="1"/>
        <v>99840</v>
      </c>
      <c r="L22" s="57">
        <f t="shared" si="2"/>
        <v>11520</v>
      </c>
      <c r="M22" s="57">
        <f t="shared" si="3"/>
        <v>23040</v>
      </c>
      <c r="N22" s="57">
        <f t="shared" si="4"/>
        <v>34560</v>
      </c>
    </row>
    <row r="23" spans="2:14">
      <c r="C23" s="57">
        <f t="shared" si="5"/>
        <v>312000</v>
      </c>
      <c r="D23" s="57">
        <f t="shared" si="6"/>
        <v>26000</v>
      </c>
      <c r="E23" s="57">
        <f t="shared" si="7"/>
        <v>6000</v>
      </c>
      <c r="F23" s="57">
        <f t="shared" si="8"/>
        <v>1200</v>
      </c>
      <c r="G23" s="47">
        <v>150</v>
      </c>
      <c r="I23" s="57">
        <f t="shared" si="0"/>
        <v>62400</v>
      </c>
      <c r="J23" s="57">
        <f t="shared" si="1"/>
        <v>124800</v>
      </c>
      <c r="L23" s="57">
        <f t="shared" si="2"/>
        <v>14400</v>
      </c>
      <c r="M23" s="57">
        <f t="shared" si="3"/>
        <v>28800</v>
      </c>
      <c r="N23" s="57">
        <f t="shared" si="4"/>
        <v>43200</v>
      </c>
    </row>
    <row r="24" spans="2:14">
      <c r="C24" s="57">
        <f t="shared" si="5"/>
        <v>416000</v>
      </c>
      <c r="D24" s="57">
        <f t="shared" si="6"/>
        <v>34666.666666666664</v>
      </c>
      <c r="E24" s="57">
        <f t="shared" si="7"/>
        <v>8000</v>
      </c>
      <c r="F24" s="57">
        <f t="shared" si="8"/>
        <v>1600</v>
      </c>
      <c r="G24" s="47">
        <v>200</v>
      </c>
      <c r="I24" s="57">
        <f t="shared" si="0"/>
        <v>83200</v>
      </c>
      <c r="J24" s="57">
        <f t="shared" si="1"/>
        <v>166400</v>
      </c>
      <c r="L24" s="57">
        <f t="shared" si="2"/>
        <v>19200</v>
      </c>
      <c r="M24" s="57">
        <f t="shared" si="3"/>
        <v>38400</v>
      </c>
      <c r="N24" s="57">
        <f t="shared" si="4"/>
        <v>57600</v>
      </c>
    </row>
    <row r="25" spans="2:14">
      <c r="C25" s="57">
        <f t="shared" si="5"/>
        <v>519999.99999999994</v>
      </c>
      <c r="D25" s="57">
        <f t="shared" si="6"/>
        <v>43333.333333333328</v>
      </c>
      <c r="E25" s="57">
        <f t="shared" si="7"/>
        <v>10000</v>
      </c>
      <c r="F25" s="57">
        <f t="shared" si="8"/>
        <v>2000</v>
      </c>
      <c r="G25" s="47">
        <v>250</v>
      </c>
      <c r="I25" s="57">
        <f t="shared" si="0"/>
        <v>104000</v>
      </c>
      <c r="J25" s="57">
        <f t="shared" si="1"/>
        <v>208000</v>
      </c>
      <c r="L25" s="57">
        <f t="shared" si="2"/>
        <v>24000</v>
      </c>
      <c r="M25" s="57">
        <f t="shared" si="3"/>
        <v>48000</v>
      </c>
      <c r="N25" s="57">
        <f t="shared" si="4"/>
        <v>72000</v>
      </c>
    </row>
    <row r="28" spans="2:14">
      <c r="B28" s="160" t="s">
        <v>85</v>
      </c>
      <c r="C28" s="160" t="s">
        <v>60</v>
      </c>
      <c r="D28" s="160" t="s">
        <v>61</v>
      </c>
      <c r="E28" s="160" t="s">
        <v>62</v>
      </c>
      <c r="F28" s="160" t="s">
        <v>63</v>
      </c>
      <c r="G28" s="160"/>
      <c r="H28" s="160" t="s">
        <v>64</v>
      </c>
      <c r="I28" s="160" t="s">
        <v>65</v>
      </c>
      <c r="J28" s="160" t="s">
        <v>66</v>
      </c>
      <c r="K28" s="160"/>
      <c r="L28" s="160"/>
      <c r="M28" s="160"/>
      <c r="N28" s="161"/>
    </row>
    <row r="29" spans="2:14">
      <c r="C29" s="47">
        <v>100</v>
      </c>
      <c r="D29" s="57">
        <f>$C29*8</f>
        <v>800</v>
      </c>
      <c r="E29" s="57">
        <f>$C29*16</f>
        <v>1600</v>
      </c>
      <c r="F29" s="57">
        <f>$C29*24</f>
        <v>2400</v>
      </c>
      <c r="H29" s="57">
        <f>$C29*40</f>
        <v>4000</v>
      </c>
      <c r="I29" s="57">
        <f>$C29*80</f>
        <v>8000</v>
      </c>
      <c r="J29" s="57">
        <f>$C29*120</f>
        <v>12000</v>
      </c>
      <c r="L29" s="57"/>
    </row>
    <row r="30" spans="2:14">
      <c r="C30" s="47">
        <v>120</v>
      </c>
      <c r="D30" s="57">
        <f t="shared" ref="D30:D32" si="9">$C30*8</f>
        <v>960</v>
      </c>
      <c r="E30" s="57">
        <f t="shared" ref="E30:E32" si="10">$C30*16</f>
        <v>1920</v>
      </c>
      <c r="F30" s="57">
        <f t="shared" ref="F30:F32" si="11">$C30*24</f>
        <v>2880</v>
      </c>
      <c r="H30" s="57">
        <f t="shared" ref="H30:H32" si="12">$C30*40</f>
        <v>4800</v>
      </c>
      <c r="I30" s="57">
        <f t="shared" ref="I30:I32" si="13">$C30*80</f>
        <v>9600</v>
      </c>
      <c r="J30" s="57">
        <f t="shared" ref="J30:J32" si="14">$C30*120</f>
        <v>14400</v>
      </c>
    </row>
    <row r="31" spans="2:14">
      <c r="C31" s="47">
        <v>150</v>
      </c>
      <c r="D31" s="57">
        <f t="shared" si="9"/>
        <v>1200</v>
      </c>
      <c r="E31" s="57">
        <f t="shared" si="10"/>
        <v>2400</v>
      </c>
      <c r="F31" s="57">
        <f t="shared" si="11"/>
        <v>3600</v>
      </c>
      <c r="H31" s="57">
        <f t="shared" si="12"/>
        <v>6000</v>
      </c>
      <c r="I31" s="57">
        <f t="shared" si="13"/>
        <v>12000</v>
      </c>
      <c r="J31" s="57">
        <f t="shared" si="14"/>
        <v>18000</v>
      </c>
    </row>
    <row r="32" spans="2:14">
      <c r="C32" s="47">
        <v>200</v>
      </c>
      <c r="D32" s="57">
        <f t="shared" si="9"/>
        <v>1600</v>
      </c>
      <c r="E32" s="57">
        <f t="shared" si="10"/>
        <v>3200</v>
      </c>
      <c r="F32" s="57">
        <f t="shared" si="11"/>
        <v>4800</v>
      </c>
      <c r="H32" s="57">
        <f t="shared" si="12"/>
        <v>8000</v>
      </c>
      <c r="I32" s="57">
        <f t="shared" si="13"/>
        <v>16000</v>
      </c>
      <c r="J32" s="57">
        <f t="shared" si="14"/>
        <v>24000</v>
      </c>
    </row>
    <row r="35" spans="2:13" ht="47.25">
      <c r="B35" s="160" t="s">
        <v>92</v>
      </c>
      <c r="C35" s="172" t="s">
        <v>93</v>
      </c>
      <c r="D35" s="173" t="s">
        <v>94</v>
      </c>
      <c r="E35" s="173" t="s">
        <v>95</v>
      </c>
      <c r="F35" s="173" t="s">
        <v>96</v>
      </c>
      <c r="G35" s="174" t="s">
        <v>97</v>
      </c>
      <c r="H35" s="161"/>
      <c r="I35" s="161"/>
      <c r="J35" s="161"/>
      <c r="K35" s="161"/>
      <c r="L35" s="161"/>
      <c r="M35" s="161"/>
    </row>
    <row r="36" spans="2:13">
      <c r="C36" s="175">
        <v>1</v>
      </c>
      <c r="D36" s="105">
        <f>F36*52</f>
        <v>2080</v>
      </c>
      <c r="E36" s="176">
        <f>D36/12</f>
        <v>173.33333333333334</v>
      </c>
      <c r="F36" s="105">
        <f>40</f>
        <v>40</v>
      </c>
      <c r="G36" s="177">
        <f>E36/8</f>
        <v>21.666666666666668</v>
      </c>
    </row>
    <row r="37" spans="2:13">
      <c r="C37" s="175">
        <v>0.75</v>
      </c>
      <c r="D37" s="105">
        <f t="shared" ref="D37:D45" si="15">F37*52</f>
        <v>1560</v>
      </c>
      <c r="E37" s="176">
        <f t="shared" ref="E37:E45" si="16">D37/12</f>
        <v>130</v>
      </c>
      <c r="F37" s="105">
        <f>C37*$F$36</f>
        <v>30</v>
      </c>
      <c r="G37" s="177">
        <f t="shared" ref="G37:G45" si="17">E37/8</f>
        <v>16.25</v>
      </c>
    </row>
    <row r="38" spans="2:13">
      <c r="C38" s="175">
        <v>0.5</v>
      </c>
      <c r="D38" s="105">
        <f t="shared" si="15"/>
        <v>1040</v>
      </c>
      <c r="E38" s="176">
        <f t="shared" si="16"/>
        <v>86.666666666666671</v>
      </c>
      <c r="F38" s="105">
        <f t="shared" ref="F38:F45" si="18">C38*$F$36</f>
        <v>20</v>
      </c>
      <c r="G38" s="177">
        <f t="shared" si="17"/>
        <v>10.833333333333334</v>
      </c>
    </row>
    <row r="39" spans="2:13">
      <c r="C39" s="175">
        <v>0.35</v>
      </c>
      <c r="D39" s="105">
        <f t="shared" si="15"/>
        <v>728</v>
      </c>
      <c r="E39" s="176">
        <f t="shared" si="16"/>
        <v>60.666666666666664</v>
      </c>
      <c r="F39" s="105">
        <f t="shared" si="18"/>
        <v>14</v>
      </c>
      <c r="G39" s="177">
        <f t="shared" si="17"/>
        <v>7.583333333333333</v>
      </c>
    </row>
    <row r="40" spans="2:13">
      <c r="C40" s="175">
        <v>0.2</v>
      </c>
      <c r="D40" s="105">
        <f t="shared" si="15"/>
        <v>416</v>
      </c>
      <c r="E40" s="176">
        <f t="shared" si="16"/>
        <v>34.666666666666664</v>
      </c>
      <c r="F40" s="105">
        <f t="shared" si="18"/>
        <v>8</v>
      </c>
      <c r="G40" s="177">
        <f t="shared" si="17"/>
        <v>4.333333333333333</v>
      </c>
    </row>
    <row r="41" spans="2:13">
      <c r="C41" s="175">
        <v>0.15</v>
      </c>
      <c r="D41" s="105">
        <f t="shared" si="15"/>
        <v>312</v>
      </c>
      <c r="E41" s="176">
        <f t="shared" si="16"/>
        <v>26</v>
      </c>
      <c r="F41" s="105">
        <f t="shared" si="18"/>
        <v>6</v>
      </c>
      <c r="G41" s="177">
        <f t="shared" si="17"/>
        <v>3.25</v>
      </c>
    </row>
    <row r="42" spans="2:13">
      <c r="C42" s="175">
        <v>0.1</v>
      </c>
      <c r="D42" s="105">
        <f t="shared" si="15"/>
        <v>208</v>
      </c>
      <c r="E42" s="176">
        <f t="shared" si="16"/>
        <v>17.333333333333332</v>
      </c>
      <c r="F42" s="105">
        <f t="shared" si="18"/>
        <v>4</v>
      </c>
      <c r="G42" s="177">
        <f t="shared" si="17"/>
        <v>2.1666666666666665</v>
      </c>
    </row>
    <row r="43" spans="2:13">
      <c r="C43" s="175">
        <v>0.05</v>
      </c>
      <c r="D43" s="105">
        <f t="shared" si="15"/>
        <v>104</v>
      </c>
      <c r="E43" s="176">
        <f t="shared" si="16"/>
        <v>8.6666666666666661</v>
      </c>
      <c r="F43" s="105">
        <f t="shared" si="18"/>
        <v>2</v>
      </c>
      <c r="G43" s="178">
        <f t="shared" si="17"/>
        <v>1.0833333333333333</v>
      </c>
    </row>
    <row r="44" spans="2:13">
      <c r="C44" s="175">
        <v>0.02</v>
      </c>
      <c r="D44" s="176">
        <f t="shared" si="15"/>
        <v>41.6</v>
      </c>
      <c r="E44" s="176">
        <f t="shared" si="16"/>
        <v>3.4666666666666668</v>
      </c>
      <c r="F44" s="105">
        <f t="shared" si="18"/>
        <v>0.8</v>
      </c>
      <c r="G44" s="178">
        <f t="shared" si="17"/>
        <v>0.43333333333333335</v>
      </c>
    </row>
    <row r="45" spans="2:13">
      <c r="C45" s="179">
        <v>0.01</v>
      </c>
      <c r="D45" s="180">
        <f t="shared" si="15"/>
        <v>20.8</v>
      </c>
      <c r="E45" s="180">
        <f t="shared" si="16"/>
        <v>1.7333333333333334</v>
      </c>
      <c r="F45" s="181">
        <f t="shared" si="18"/>
        <v>0.4</v>
      </c>
      <c r="G45" s="182">
        <f t="shared" si="17"/>
        <v>0.21666666666666667</v>
      </c>
    </row>
    <row r="47" spans="2:13">
      <c r="C47" s="311" t="s">
        <v>98</v>
      </c>
      <c r="D47" s="312"/>
      <c r="E47" s="313"/>
      <c r="F47" s="183" t="s">
        <v>99</v>
      </c>
    </row>
    <row r="48" spans="2:13">
      <c r="C48" s="184" t="s">
        <v>100</v>
      </c>
      <c r="D48" s="184" t="s">
        <v>102</v>
      </c>
      <c r="E48" s="184" t="s">
        <v>101</v>
      </c>
      <c r="F48" s="184" t="s">
        <v>103</v>
      </c>
    </row>
    <row r="49" spans="3:6">
      <c r="C49" s="185">
        <v>136</v>
      </c>
      <c r="D49" s="186"/>
      <c r="E49" s="186"/>
      <c r="F49" s="187">
        <f>C49/D36</f>
        <v>6.5384615384615388E-2</v>
      </c>
    </row>
    <row r="50" spans="3:6">
      <c r="C50" s="186"/>
      <c r="D50" s="185">
        <v>12</v>
      </c>
      <c r="E50" s="186"/>
      <c r="F50" s="187">
        <f>D50/E36</f>
        <v>6.9230769230769221E-2</v>
      </c>
    </row>
    <row r="51" spans="3:6">
      <c r="C51" s="186"/>
      <c r="D51" s="186"/>
      <c r="E51" s="185">
        <v>3</v>
      </c>
      <c r="F51" s="187">
        <f>E51/F36</f>
        <v>7.4999999999999997E-2</v>
      </c>
    </row>
  </sheetData>
  <mergeCells count="1">
    <mergeCell ref="C47:E47"/>
  </mergeCells>
  <phoneticPr fontId="7" type="noConversion"/>
  <pageMargins left="0.7" right="0.7" top="0.75" bottom="0.75" header="0.3" footer="0.3"/>
  <pageSetup orientation="portrait" r:id="rId1"/>
  <legacyDrawing r:id="rId2"/>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sheetPr codeName="Sheet7"/>
  <dimension ref="A1:F25"/>
  <sheetViews>
    <sheetView workbookViewId="0"/>
  </sheetViews>
  <sheetFormatPr defaultRowHeight="15"/>
  <cols>
    <col min="1" max="1" width="33.85546875" customWidth="1"/>
    <col min="2" max="2" width="13.85546875" customWidth="1"/>
    <col min="3" max="3" width="13.5703125" customWidth="1"/>
    <col min="4" max="4" width="12.7109375" bestFit="1" customWidth="1"/>
    <col min="5" max="5" width="7.7109375" hidden="1" customWidth="1"/>
    <col min="6" max="6" width="11.28515625" customWidth="1"/>
  </cols>
  <sheetData>
    <row r="1" spans="1:6" ht="18.75">
      <c r="A1" s="201" t="s">
        <v>139</v>
      </c>
    </row>
    <row r="2" spans="1:6">
      <c r="A2" s="1" t="str">
        <f>'Table of Contents'!B2</f>
        <v>Final - Adopted by RTF on October 15, Approved by Council on November 5.</v>
      </c>
    </row>
    <row r="5" spans="1:6" ht="15.75">
      <c r="A5" s="104" t="s">
        <v>140</v>
      </c>
      <c r="B5" s="188">
        <v>1500000</v>
      </c>
    </row>
    <row r="6" spans="1:6" ht="15.75" thickBot="1">
      <c r="F6" s="2"/>
    </row>
    <row r="7" spans="1:6" ht="78.75">
      <c r="A7" s="189" t="s">
        <v>122</v>
      </c>
      <c r="B7" s="190" t="s">
        <v>138</v>
      </c>
      <c r="C7" s="190" t="s">
        <v>123</v>
      </c>
      <c r="D7" s="191" t="s">
        <v>124</v>
      </c>
      <c r="E7" s="8"/>
      <c r="F7" s="9"/>
    </row>
    <row r="8" spans="1:6" ht="15.75">
      <c r="A8" s="192" t="s">
        <v>126</v>
      </c>
      <c r="B8" s="193">
        <v>0.35491098436645985</v>
      </c>
      <c r="C8" s="194">
        <f>$B$5*B8</f>
        <v>532366.47654968977</v>
      </c>
      <c r="D8" s="195">
        <f>ROUND(C8,-3)</f>
        <v>532000</v>
      </c>
      <c r="E8" s="6"/>
      <c r="F8" s="2"/>
    </row>
    <row r="9" spans="1:6" ht="15.75">
      <c r="A9" s="192" t="s">
        <v>127</v>
      </c>
      <c r="B9" s="193">
        <v>0.20525957851608623</v>
      </c>
      <c r="C9" s="194">
        <f t="shared" ref="C9:C20" si="0">$B$5*B9</f>
        <v>307889.36777412932</v>
      </c>
      <c r="D9" s="195">
        <f t="shared" ref="D9:D20" si="1">ROUND(C9,-3)</f>
        <v>308000</v>
      </c>
      <c r="E9" s="6"/>
    </row>
    <row r="10" spans="1:6" ht="15.75">
      <c r="A10" s="192" t="s">
        <v>128</v>
      </c>
      <c r="B10" s="193">
        <v>0.13718045536284248</v>
      </c>
      <c r="C10" s="194">
        <f t="shared" si="0"/>
        <v>205770.68304426371</v>
      </c>
      <c r="D10" s="195">
        <f t="shared" si="1"/>
        <v>206000</v>
      </c>
      <c r="E10" s="6"/>
    </row>
    <row r="11" spans="1:6" ht="15.75">
      <c r="A11" s="192" t="s">
        <v>129</v>
      </c>
      <c r="B11" s="193">
        <v>8.6172223450727434E-2</v>
      </c>
      <c r="C11" s="194">
        <f t="shared" si="0"/>
        <v>129258.33517609115</v>
      </c>
      <c r="D11" s="195">
        <f t="shared" si="1"/>
        <v>129000</v>
      </c>
      <c r="E11" s="6"/>
    </row>
    <row r="12" spans="1:6" ht="15.75">
      <c r="A12" s="192" t="s">
        <v>130</v>
      </c>
      <c r="B12" s="193">
        <v>5.5301509948806102E-2</v>
      </c>
      <c r="C12" s="194">
        <f t="shared" si="0"/>
        <v>82952.26492320915</v>
      </c>
      <c r="D12" s="195">
        <f t="shared" si="1"/>
        <v>83000</v>
      </c>
      <c r="E12" s="6"/>
    </row>
    <row r="13" spans="1:6" ht="15.75">
      <c r="A13" s="192" t="s">
        <v>131</v>
      </c>
      <c r="B13" s="193">
        <v>4.5079419385255989E-2</v>
      </c>
      <c r="C13" s="194">
        <f t="shared" si="0"/>
        <v>67619.12907788399</v>
      </c>
      <c r="D13" s="195">
        <f t="shared" si="1"/>
        <v>68000</v>
      </c>
      <c r="E13" s="6"/>
    </row>
    <row r="14" spans="1:6" ht="15.75">
      <c r="A14" s="192" t="s">
        <v>148</v>
      </c>
      <c r="B14" s="193">
        <v>3.8128397802041913E-2</v>
      </c>
      <c r="C14" s="194">
        <f t="shared" si="0"/>
        <v>57192.596703062867</v>
      </c>
      <c r="D14" s="195">
        <v>30000</v>
      </c>
      <c r="E14" s="6"/>
    </row>
    <row r="15" spans="1:6" ht="15.75">
      <c r="A15" s="192" t="s">
        <v>132</v>
      </c>
      <c r="B15" s="193">
        <v>3.7208409651322404E-2</v>
      </c>
      <c r="C15" s="194">
        <f t="shared" si="0"/>
        <v>55812.614476983603</v>
      </c>
      <c r="D15" s="195">
        <f t="shared" si="1"/>
        <v>56000</v>
      </c>
      <c r="E15" s="6"/>
    </row>
    <row r="16" spans="1:6" ht="15.75">
      <c r="A16" s="192" t="s">
        <v>133</v>
      </c>
      <c r="B16" s="193">
        <v>1.3596423519987317E-2</v>
      </c>
      <c r="C16" s="194">
        <f t="shared" si="0"/>
        <v>20394.635279980976</v>
      </c>
      <c r="D16" s="195">
        <f t="shared" si="1"/>
        <v>20000</v>
      </c>
      <c r="E16" s="6"/>
      <c r="F16" s="6"/>
    </row>
    <row r="17" spans="1:6" ht="15.75">
      <c r="A17" s="192" t="s">
        <v>134</v>
      </c>
      <c r="B17" s="193">
        <v>1.1244299619905123E-2</v>
      </c>
      <c r="C17" s="194">
        <f t="shared" si="0"/>
        <v>16866.449429857683</v>
      </c>
      <c r="D17" s="195">
        <f t="shared" si="1"/>
        <v>17000</v>
      </c>
      <c r="E17" s="6"/>
      <c r="F17" s="6"/>
    </row>
    <row r="18" spans="1:6" ht="15.75">
      <c r="A18" s="192" t="s">
        <v>135</v>
      </c>
      <c r="B18" s="193">
        <v>7.8710097339335858E-3</v>
      </c>
      <c r="C18" s="194">
        <f t="shared" si="0"/>
        <v>11806.514600900378</v>
      </c>
      <c r="D18" s="195">
        <f t="shared" si="1"/>
        <v>12000</v>
      </c>
      <c r="E18" s="6"/>
      <c r="F18" s="6"/>
    </row>
    <row r="19" spans="1:6" ht="15.75">
      <c r="A19" s="192" t="s">
        <v>136</v>
      </c>
      <c r="B19" s="193">
        <v>5.1851032848375103E-3</v>
      </c>
      <c r="C19" s="194">
        <f t="shared" si="0"/>
        <v>7777.6549272562652</v>
      </c>
      <c r="D19" s="195">
        <f t="shared" si="1"/>
        <v>8000</v>
      </c>
      <c r="E19" s="6"/>
      <c r="F19" s="6"/>
    </row>
    <row r="20" spans="1:6" ht="15.75">
      <c r="A20" s="192" t="s">
        <v>137</v>
      </c>
      <c r="B20" s="193">
        <v>2.8621853577940311E-3</v>
      </c>
      <c r="C20" s="194">
        <f t="shared" si="0"/>
        <v>4293.2780366910465</v>
      </c>
      <c r="D20" s="195">
        <f t="shared" si="1"/>
        <v>4000</v>
      </c>
      <c r="E20" s="6"/>
      <c r="F20" s="6"/>
    </row>
    <row r="21" spans="1:6" ht="15.75">
      <c r="A21" s="192"/>
      <c r="B21" s="105"/>
      <c r="C21" s="105"/>
      <c r="D21" s="196"/>
      <c r="E21" s="3"/>
      <c r="F21" s="3"/>
    </row>
    <row r="22" spans="1:6" ht="16.5" thickBot="1">
      <c r="A22" s="197" t="s">
        <v>125</v>
      </c>
      <c r="B22" s="198">
        <f>SUM(B8:B20)</f>
        <v>1</v>
      </c>
      <c r="C22" s="199">
        <f>SUM(C8:C20)</f>
        <v>1499999.9999999998</v>
      </c>
      <c r="D22" s="200">
        <f>SUM(D8:D20)</f>
        <v>1473000</v>
      </c>
      <c r="E22" s="7"/>
      <c r="F22" s="6"/>
    </row>
    <row r="23" spans="1:6">
      <c r="A23" s="11" t="s">
        <v>157</v>
      </c>
    </row>
    <row r="25" spans="1:6">
      <c r="B25" s="1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Table of Contents</vt:lpstr>
      <vt:lpstr>Category (2014)</vt:lpstr>
      <vt:lpstr>Category Detail (2014)</vt:lpstr>
      <vt:lpstr>Category (2014-2016)</vt:lpstr>
      <vt:lpstr>NPCC In Kind</vt:lpstr>
      <vt:lpstr>Typical Rates</vt:lpstr>
      <vt:lpstr>Funding Shares</vt:lpstr>
      <vt:lpstr>'NPCC In Kind'!Print_Area</vt:lpstr>
    </vt:vector>
  </TitlesOfParts>
  <Company>Northwest Power and Conservation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Charles</dc:creator>
  <cp:lastModifiedBy>Nick O'Neil</cp:lastModifiedBy>
  <cp:lastPrinted>2012-09-14T17:01:32Z</cp:lastPrinted>
  <dcterms:created xsi:type="dcterms:W3CDTF">2010-11-30T20:23:00Z</dcterms:created>
  <dcterms:modified xsi:type="dcterms:W3CDTF">2013-12-19T23:13:12Z</dcterms:modified>
</cp:coreProperties>
</file>