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autoCompressPictures="0" defaultThemeVersion="124226"/>
  <bookViews>
    <workbookView xWindow="-255" yWindow="975" windowWidth="15480" windowHeight="7635" tabRatio="644" activeTab="1"/>
  </bookViews>
  <sheets>
    <sheet name="Table of Contents" sheetId="9" r:id="rId1"/>
    <sheet name="Category (2012)" sheetId="4" r:id="rId2"/>
    <sheet name="Category Detail (2012)" sheetId="3" r:id="rId3"/>
    <sheet name="Category (2012-2014)" sheetId="8" r:id="rId4"/>
    <sheet name="NPCC In Kind" sheetId="6" r:id="rId5"/>
    <sheet name="Typical Rates" sheetId="5" r:id="rId6"/>
    <sheet name="Funding Shares" sheetId="10" r:id="rId7"/>
    <sheet name="Category Detail (Final Nov)" sheetId="13" r:id="rId8"/>
    <sheet name="Category Detail (2012 Initial)" sheetId="11" r:id="rId9"/>
    <sheet name="Compare Detail 2012" sheetId="12" r:id="rId10"/>
  </sheets>
  <externalReferences>
    <externalReference r:id="rId11"/>
  </externalReferences>
  <definedNames>
    <definedName name="_xlnm.Print_Area" localSheetId="4">'NPCC In Kind'!$I$4:$O$57</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E9" i="12"/>
  <c r="E16"/>
  <c r="E20"/>
  <c r="E5"/>
  <c r="C5"/>
  <c r="C6"/>
  <c r="E6" s="1"/>
  <c r="C7"/>
  <c r="E7" s="1"/>
  <c r="C8"/>
  <c r="E8" s="1"/>
  <c r="C9"/>
  <c r="C10"/>
  <c r="E10" s="1"/>
  <c r="C11"/>
  <c r="E11" s="1"/>
  <c r="C12"/>
  <c r="E12" s="1"/>
  <c r="C16"/>
  <c r="C17"/>
  <c r="E17" s="1"/>
  <c r="C18"/>
  <c r="E18" s="1"/>
  <c r="C19"/>
  <c r="E19" s="1"/>
  <c r="C20"/>
  <c r="C21"/>
  <c r="E21" s="1"/>
  <c r="C22"/>
  <c r="E22" s="1"/>
  <c r="C23"/>
  <c r="E23" s="1"/>
  <c r="B2" i="13"/>
  <c r="B9"/>
  <c r="B16" s="1"/>
  <c r="C10"/>
  <c r="D10"/>
  <c r="E10" s="1"/>
  <c r="F10"/>
  <c r="L10"/>
  <c r="M10"/>
  <c r="C11"/>
  <c r="E11" s="1"/>
  <c r="D11"/>
  <c r="F11"/>
  <c r="L11"/>
  <c r="M11"/>
  <c r="C12"/>
  <c r="D12"/>
  <c r="E12" s="1"/>
  <c r="F12"/>
  <c r="L12"/>
  <c r="C13"/>
  <c r="C16" s="1"/>
  <c r="C96" s="1"/>
  <c r="D13"/>
  <c r="F13"/>
  <c r="C14"/>
  <c r="E14" s="1"/>
  <c r="D14"/>
  <c r="F14"/>
  <c r="L14"/>
  <c r="M14"/>
  <c r="C15"/>
  <c r="D15"/>
  <c r="E15"/>
  <c r="F15"/>
  <c r="L15"/>
  <c r="M15"/>
  <c r="F16"/>
  <c r="B19"/>
  <c r="B27" s="1"/>
  <c r="C20"/>
  <c r="D20"/>
  <c r="E20"/>
  <c r="F20"/>
  <c r="F27" s="1"/>
  <c r="L20"/>
  <c r="M20"/>
  <c r="C21"/>
  <c r="E21" s="1"/>
  <c r="D21"/>
  <c r="F21"/>
  <c r="L21"/>
  <c r="M21"/>
  <c r="C22"/>
  <c r="D22"/>
  <c r="E22"/>
  <c r="F22"/>
  <c r="L22"/>
  <c r="M22"/>
  <c r="C23"/>
  <c r="E23" s="1"/>
  <c r="D23"/>
  <c r="F23"/>
  <c r="L23"/>
  <c r="M23"/>
  <c r="C24"/>
  <c r="D24"/>
  <c r="E24"/>
  <c r="F24"/>
  <c r="L24"/>
  <c r="C25"/>
  <c r="D25"/>
  <c r="E25" s="1"/>
  <c r="F25"/>
  <c r="L25"/>
  <c r="M25"/>
  <c r="C26"/>
  <c r="E26" s="1"/>
  <c r="D26"/>
  <c r="F26"/>
  <c r="L26"/>
  <c r="M26"/>
  <c r="C27"/>
  <c r="D27"/>
  <c r="B30"/>
  <c r="B41" s="1"/>
  <c r="E31"/>
  <c r="E32"/>
  <c r="E33"/>
  <c r="F33"/>
  <c r="F41" s="1"/>
  <c r="E34"/>
  <c r="F34"/>
  <c r="E35"/>
  <c r="F35"/>
  <c r="C36"/>
  <c r="C41" s="1"/>
  <c r="F36"/>
  <c r="E37"/>
  <c r="F37"/>
  <c r="D41"/>
  <c r="B44"/>
  <c r="E45"/>
  <c r="E46"/>
  <c r="E47"/>
  <c r="E48"/>
  <c r="E49"/>
  <c r="E50"/>
  <c r="E51"/>
  <c r="E52"/>
  <c r="E53"/>
  <c r="B56"/>
  <c r="C56"/>
  <c r="D56"/>
  <c r="E56"/>
  <c r="F56"/>
  <c r="B59"/>
  <c r="B64" s="1"/>
  <c r="E60"/>
  <c r="E64" s="1"/>
  <c r="F60"/>
  <c r="F64" s="1"/>
  <c r="E61"/>
  <c r="F61"/>
  <c r="E62"/>
  <c r="F62"/>
  <c r="E63"/>
  <c r="F63"/>
  <c r="C64"/>
  <c r="D64"/>
  <c r="B67"/>
  <c r="B73" s="1"/>
  <c r="E68"/>
  <c r="E69"/>
  <c r="E70"/>
  <c r="D71"/>
  <c r="D73" s="1"/>
  <c r="E72"/>
  <c r="C73"/>
  <c r="F73"/>
  <c r="B76"/>
  <c r="B80" s="1"/>
  <c r="E77"/>
  <c r="E80" s="1"/>
  <c r="E78"/>
  <c r="E79"/>
  <c r="C80"/>
  <c r="D80"/>
  <c r="F80"/>
  <c r="F99" s="1"/>
  <c r="B83"/>
  <c r="B86" s="1"/>
  <c r="E84"/>
  <c r="E85"/>
  <c r="C86"/>
  <c r="D86"/>
  <c r="E86"/>
  <c r="F86"/>
  <c r="E90"/>
  <c r="E93" s="1"/>
  <c r="E91"/>
  <c r="E92"/>
  <c r="B93"/>
  <c r="C93"/>
  <c r="D93"/>
  <c r="F93"/>
  <c r="D104"/>
  <c r="E73" l="1"/>
  <c r="F96"/>
  <c r="F101" s="1"/>
  <c r="E27"/>
  <c r="F98"/>
  <c r="E71"/>
  <c r="E36"/>
  <c r="E41" s="1"/>
  <c r="D16"/>
  <c r="D96" s="1"/>
  <c r="D101" s="1"/>
  <c r="E13"/>
  <c r="E16" s="1"/>
  <c r="E96" s="1"/>
  <c r="E7" s="1"/>
  <c r="D105" l="1"/>
  <c r="F16" i="3" l="1"/>
  <c r="L16"/>
  <c r="D16"/>
  <c r="C16"/>
  <c r="L15" i="4"/>
  <c r="L14"/>
  <c r="L13"/>
  <c r="L12"/>
  <c r="L11"/>
  <c r="L10"/>
  <c r="L9"/>
  <c r="L8"/>
  <c r="L7"/>
  <c r="L6"/>
  <c r="M23" i="3"/>
  <c r="M14"/>
  <c r="M22"/>
  <c r="L14"/>
  <c r="C14"/>
  <c r="D14"/>
  <c r="F14"/>
  <c r="F37"/>
  <c r="E37"/>
  <c r="C37"/>
  <c r="C13"/>
  <c r="D13"/>
  <c r="E13" s="1"/>
  <c r="F13"/>
  <c r="E16" l="1"/>
  <c r="E14"/>
  <c r="D101" i="11"/>
  <c r="F96"/>
  <c r="F90"/>
  <c r="D90"/>
  <c r="C90"/>
  <c r="B90"/>
  <c r="E89"/>
  <c r="E88"/>
  <c r="E87"/>
  <c r="E90" s="1"/>
  <c r="F83"/>
  <c r="D83"/>
  <c r="C83"/>
  <c r="E82"/>
  <c r="E81"/>
  <c r="E83" s="1"/>
  <c r="B80"/>
  <c r="B83" s="1"/>
  <c r="F77"/>
  <c r="D77"/>
  <c r="C77"/>
  <c r="E76"/>
  <c r="E75"/>
  <c r="E74"/>
  <c r="E77" s="1"/>
  <c r="B73"/>
  <c r="B77" s="1"/>
  <c r="F70"/>
  <c r="D70"/>
  <c r="C70"/>
  <c r="E69"/>
  <c r="E68"/>
  <c r="D68"/>
  <c r="E67"/>
  <c r="E66"/>
  <c r="E70" s="1"/>
  <c r="E65"/>
  <c r="B64"/>
  <c r="B70" s="1"/>
  <c r="E61"/>
  <c r="D61"/>
  <c r="C61"/>
  <c r="F60"/>
  <c r="E60"/>
  <c r="F59"/>
  <c r="E59"/>
  <c r="F58"/>
  <c r="E58"/>
  <c r="F57"/>
  <c r="F61" s="1"/>
  <c r="E57"/>
  <c r="B56"/>
  <c r="B61" s="1"/>
  <c r="F53"/>
  <c r="D53"/>
  <c r="C53"/>
  <c r="E50"/>
  <c r="E49"/>
  <c r="E48"/>
  <c r="E47"/>
  <c r="E46"/>
  <c r="E45"/>
  <c r="E44"/>
  <c r="E43"/>
  <c r="E42"/>
  <c r="E53" s="1"/>
  <c r="B41"/>
  <c r="B53" s="1"/>
  <c r="F38"/>
  <c r="D38"/>
  <c r="C38"/>
  <c r="F34"/>
  <c r="E34"/>
  <c r="F33"/>
  <c r="E33"/>
  <c r="F32"/>
  <c r="E32"/>
  <c r="F31"/>
  <c r="E31"/>
  <c r="E30"/>
  <c r="E38" s="1"/>
  <c r="E29"/>
  <c r="B28"/>
  <c r="B38" s="1"/>
  <c r="M24"/>
  <c r="L24"/>
  <c r="F24"/>
  <c r="E24"/>
  <c r="D24"/>
  <c r="C24"/>
  <c r="M23"/>
  <c r="L23"/>
  <c r="F23"/>
  <c r="D23"/>
  <c r="C23"/>
  <c r="E23" s="1"/>
  <c r="L22"/>
  <c r="F22"/>
  <c r="D22"/>
  <c r="C22"/>
  <c r="E22" s="1"/>
  <c r="M21"/>
  <c r="L21"/>
  <c r="F21"/>
  <c r="E21"/>
  <c r="D21"/>
  <c r="C21"/>
  <c r="M20"/>
  <c r="L20"/>
  <c r="F20"/>
  <c r="D20"/>
  <c r="C20"/>
  <c r="E20" s="1"/>
  <c r="M19"/>
  <c r="L19"/>
  <c r="F19"/>
  <c r="F25" s="1"/>
  <c r="E19"/>
  <c r="D19"/>
  <c r="C19"/>
  <c r="M18"/>
  <c r="L18"/>
  <c r="F18"/>
  <c r="D18"/>
  <c r="D25" s="1"/>
  <c r="C18"/>
  <c r="C25" s="1"/>
  <c r="B17"/>
  <c r="B25" s="1"/>
  <c r="L13"/>
  <c r="F13"/>
  <c r="D13"/>
  <c r="C13"/>
  <c r="E13" s="1"/>
  <c r="M12"/>
  <c r="L12"/>
  <c r="F12"/>
  <c r="E12"/>
  <c r="D12"/>
  <c r="C12"/>
  <c r="M11"/>
  <c r="L11"/>
  <c r="F11"/>
  <c r="D11"/>
  <c r="C11"/>
  <c r="E11" s="1"/>
  <c r="M10"/>
  <c r="L10"/>
  <c r="F10"/>
  <c r="F14" s="1"/>
  <c r="E10"/>
  <c r="D10"/>
  <c r="D14" s="1"/>
  <c r="D93" s="1"/>
  <c r="C10"/>
  <c r="C14" s="1"/>
  <c r="C93" s="1"/>
  <c r="B9"/>
  <c r="B14" s="1"/>
  <c r="A2" i="10"/>
  <c r="B2" i="8"/>
  <c r="M21" i="6"/>
  <c r="L21"/>
  <c r="D98" i="11" l="1"/>
  <c r="D102"/>
  <c r="F95"/>
  <c r="F93"/>
  <c r="F98" s="1"/>
  <c r="E14"/>
  <c r="E93" s="1"/>
  <c r="E18"/>
  <c r="E25" s="1"/>
  <c r="L22" i="3"/>
  <c r="L23"/>
  <c r="L24"/>
  <c r="L25"/>
  <c r="L26"/>
  <c r="L27"/>
  <c r="L21"/>
  <c r="L11"/>
  <c r="L15"/>
  <c r="L12"/>
  <c r="L10"/>
  <c r="D105"/>
  <c r="Q17" i="8"/>
  <c r="N11"/>
  <c r="N12"/>
  <c r="N13"/>
  <c r="N14"/>
  <c r="N15"/>
  <c r="N16"/>
  <c r="N17"/>
  <c r="I20" i="10"/>
  <c r="I19"/>
  <c r="I18"/>
  <c r="I17"/>
  <c r="I16"/>
  <c r="I15"/>
  <c r="I14"/>
  <c r="F8"/>
  <c r="I12"/>
  <c r="I11"/>
  <c r="I10"/>
  <c r="I22" l="1"/>
  <c r="F22"/>
  <c r="B22"/>
  <c r="B2" i="5" l="1"/>
  <c r="B2" i="6"/>
  <c r="B2" i="3"/>
  <c r="B24" i="8"/>
  <c r="B23"/>
  <c r="B22"/>
  <c r="K17"/>
  <c r="D57" i="3" l="1"/>
  <c r="D12" i="8" s="1"/>
  <c r="F57" i="3"/>
  <c r="F12" i="8" s="1"/>
  <c r="C57" i="3"/>
  <c r="C12" i="8" s="1"/>
  <c r="M24" i="3"/>
  <c r="C25"/>
  <c r="E25" s="1"/>
  <c r="D25"/>
  <c r="F25"/>
  <c r="C27"/>
  <c r="D27"/>
  <c r="F27"/>
  <c r="F26"/>
  <c r="D26"/>
  <c r="C26"/>
  <c r="M27"/>
  <c r="M26"/>
  <c r="M21"/>
  <c r="M15"/>
  <c r="F24"/>
  <c r="D24"/>
  <c r="C24"/>
  <c r="D42"/>
  <c r="D11" i="8" s="1"/>
  <c r="C42" i="3"/>
  <c r="C11" i="8" s="1"/>
  <c r="F49" i="5"/>
  <c r="D49" s="1"/>
  <c r="E49" s="1"/>
  <c r="G49" s="1"/>
  <c r="F53"/>
  <c r="D53" s="1"/>
  <c r="E53" s="1"/>
  <c r="G53" s="1"/>
  <c r="F44"/>
  <c r="F59" s="1"/>
  <c r="E24" i="3" l="1"/>
  <c r="P11" i="8"/>
  <c r="J11"/>
  <c r="O11"/>
  <c r="I11"/>
  <c r="R12"/>
  <c r="L12"/>
  <c r="P12"/>
  <c r="J12"/>
  <c r="I12"/>
  <c r="O12"/>
  <c r="E26" i="3"/>
  <c r="E27"/>
  <c r="D44" i="5"/>
  <c r="E44" s="1"/>
  <c r="F45"/>
  <c r="D45" s="1"/>
  <c r="E45" s="1"/>
  <c r="G45" s="1"/>
  <c r="F50"/>
  <c r="D50" s="1"/>
  <c r="E50" s="1"/>
  <c r="G50" s="1"/>
  <c r="F46"/>
  <c r="D46" s="1"/>
  <c r="E46" s="1"/>
  <c r="G46" s="1"/>
  <c r="F57"/>
  <c r="F51"/>
  <c r="D51" s="1"/>
  <c r="E51" s="1"/>
  <c r="G51" s="1"/>
  <c r="F47"/>
  <c r="D47" s="1"/>
  <c r="E47" s="1"/>
  <c r="G47" s="1"/>
  <c r="F52"/>
  <c r="D52" s="1"/>
  <c r="E52" s="1"/>
  <c r="G52" s="1"/>
  <c r="F48"/>
  <c r="D48" s="1"/>
  <c r="E48" s="1"/>
  <c r="G48" s="1"/>
  <c r="G44"/>
  <c r="K11" i="8" l="1"/>
  <c r="K12"/>
  <c r="F58" i="5"/>
  <c r="F40" i="6" l="1"/>
  <c r="G40"/>
  <c r="E40"/>
  <c r="E21"/>
  <c r="G7" i="4" l="1"/>
  <c r="G6"/>
  <c r="D72" i="3"/>
  <c r="E72" s="1"/>
  <c r="E69"/>
  <c r="E70"/>
  <c r="E71"/>
  <c r="E73"/>
  <c r="F74"/>
  <c r="C74"/>
  <c r="E34"/>
  <c r="F34"/>
  <c r="C12"/>
  <c r="D12"/>
  <c r="F12"/>
  <c r="C87"/>
  <c r="M11"/>
  <c r="M10"/>
  <c r="F62"/>
  <c r="F63"/>
  <c r="F64"/>
  <c r="F61"/>
  <c r="F38"/>
  <c r="F35"/>
  <c r="F36"/>
  <c r="C22"/>
  <c r="D22"/>
  <c r="F22"/>
  <c r="C23"/>
  <c r="D23"/>
  <c r="F23"/>
  <c r="F21"/>
  <c r="D21"/>
  <c r="C21"/>
  <c r="F11"/>
  <c r="F10"/>
  <c r="F15"/>
  <c r="D11"/>
  <c r="D15"/>
  <c r="D10"/>
  <c r="D17" s="1"/>
  <c r="C11"/>
  <c r="C10"/>
  <c r="C15"/>
  <c r="E15" s="1"/>
  <c r="C94"/>
  <c r="D94"/>
  <c r="F94"/>
  <c r="F17" i="8" s="1"/>
  <c r="E92" i="3"/>
  <c r="E93"/>
  <c r="E91"/>
  <c r="B94"/>
  <c r="E86"/>
  <c r="E85"/>
  <c r="D87"/>
  <c r="F87"/>
  <c r="F81"/>
  <c r="D81"/>
  <c r="C81"/>
  <c r="E79"/>
  <c r="E80"/>
  <c r="E78"/>
  <c r="F9" i="4"/>
  <c r="B84" i="3"/>
  <c r="B87" s="1"/>
  <c r="D65"/>
  <c r="C65"/>
  <c r="E62"/>
  <c r="E63"/>
  <c r="E64"/>
  <c r="E61"/>
  <c r="E36"/>
  <c r="D8" i="4"/>
  <c r="C8"/>
  <c r="D9"/>
  <c r="C9"/>
  <c r="E54" i="3"/>
  <c r="E32"/>
  <c r="E33"/>
  <c r="B77"/>
  <c r="B81" s="1"/>
  <c r="B68"/>
  <c r="B74" s="1"/>
  <c r="B60"/>
  <c r="B65" s="1"/>
  <c r="B45"/>
  <c r="B57" s="1"/>
  <c r="B31"/>
  <c r="B42" s="1"/>
  <c r="B20"/>
  <c r="B28" s="1"/>
  <c r="B9"/>
  <c r="B17" s="1"/>
  <c r="E47"/>
  <c r="E48"/>
  <c r="E49"/>
  <c r="E50"/>
  <c r="E51"/>
  <c r="E52"/>
  <c r="E53"/>
  <c r="E46"/>
  <c r="E38"/>
  <c r="E35"/>
  <c r="F56" i="6"/>
  <c r="E56"/>
  <c r="G56" s="1"/>
  <c r="F55"/>
  <c r="E55"/>
  <c r="F54"/>
  <c r="E54"/>
  <c r="F53"/>
  <c r="E53"/>
  <c r="G53" s="1"/>
  <c r="E52"/>
  <c r="G52" s="1"/>
  <c r="F52"/>
  <c r="F51"/>
  <c r="E51"/>
  <c r="G51"/>
  <c r="F50"/>
  <c r="E50"/>
  <c r="G50"/>
  <c r="F49"/>
  <c r="E49"/>
  <c r="F48"/>
  <c r="E48"/>
  <c r="G48"/>
  <c r="F47"/>
  <c r="E47"/>
  <c r="G47"/>
  <c r="F46"/>
  <c r="G46" s="1"/>
  <c r="E46"/>
  <c r="F45"/>
  <c r="E45"/>
  <c r="G45"/>
  <c r="E44"/>
  <c r="G44" s="1"/>
  <c r="F44"/>
  <c r="F39"/>
  <c r="E39"/>
  <c r="G38"/>
  <c r="G37"/>
  <c r="G36"/>
  <c r="G35"/>
  <c r="G34"/>
  <c r="G33"/>
  <c r="G32"/>
  <c r="G31"/>
  <c r="G30"/>
  <c r="G29"/>
  <c r="G28"/>
  <c r="G27"/>
  <c r="G26"/>
  <c r="L20"/>
  <c r="K20"/>
  <c r="K21" s="1"/>
  <c r="F20"/>
  <c r="F21" s="1"/>
  <c r="E20"/>
  <c r="W19"/>
  <c r="U19"/>
  <c r="T19"/>
  <c r="M19"/>
  <c r="G19"/>
  <c r="M18"/>
  <c r="G18"/>
  <c r="V17"/>
  <c r="M17"/>
  <c r="G17"/>
  <c r="V16"/>
  <c r="M16"/>
  <c r="G16"/>
  <c r="V15"/>
  <c r="M15"/>
  <c r="G15"/>
  <c r="V14"/>
  <c r="M14"/>
  <c r="G14"/>
  <c r="V13"/>
  <c r="M13"/>
  <c r="G13"/>
  <c r="V12"/>
  <c r="M12"/>
  <c r="G12"/>
  <c r="V11"/>
  <c r="M11"/>
  <c r="G11"/>
  <c r="V10"/>
  <c r="V19" s="1"/>
  <c r="M10"/>
  <c r="G10"/>
  <c r="V9"/>
  <c r="M9"/>
  <c r="G9"/>
  <c r="V8"/>
  <c r="M8"/>
  <c r="G8"/>
  <c r="V7"/>
  <c r="M7"/>
  <c r="G7"/>
  <c r="G39"/>
  <c r="G49"/>
  <c r="G54"/>
  <c r="H38" i="5"/>
  <c r="I38"/>
  <c r="J38"/>
  <c r="H39"/>
  <c r="I39"/>
  <c r="J39"/>
  <c r="H40"/>
  <c r="I40"/>
  <c r="J40"/>
  <c r="J37"/>
  <c r="I37"/>
  <c r="H37"/>
  <c r="F38"/>
  <c r="F39"/>
  <c r="F40"/>
  <c r="F37"/>
  <c r="E38"/>
  <c r="E39"/>
  <c r="E40"/>
  <c r="E37"/>
  <c r="D38"/>
  <c r="D39"/>
  <c r="D40"/>
  <c r="D37"/>
  <c r="F27"/>
  <c r="E27" s="1"/>
  <c r="D27" s="1"/>
  <c r="C27" s="1"/>
  <c r="F29"/>
  <c r="I29" s="1"/>
  <c r="J29" s="1"/>
  <c r="F30"/>
  <c r="I30" s="1"/>
  <c r="J30" s="1"/>
  <c r="F31"/>
  <c r="L31" s="1"/>
  <c r="F32"/>
  <c r="I32" s="1"/>
  <c r="J32" s="1"/>
  <c r="F33"/>
  <c r="L33" s="1"/>
  <c r="F28"/>
  <c r="E28" s="1"/>
  <c r="D28" s="1"/>
  <c r="C28" s="1"/>
  <c r="C17" i="3" l="1"/>
  <c r="F17"/>
  <c r="D10" i="4"/>
  <c r="D13" i="8"/>
  <c r="F12" i="4"/>
  <c r="F15" i="8"/>
  <c r="C14" i="4"/>
  <c r="C17" i="8"/>
  <c r="F13" i="4"/>
  <c r="F16" i="8"/>
  <c r="C11" i="4"/>
  <c r="C14" i="8"/>
  <c r="C10" i="4"/>
  <c r="C13" i="8"/>
  <c r="D12" i="4"/>
  <c r="D15" i="8"/>
  <c r="C12" i="4"/>
  <c r="C15" i="8"/>
  <c r="D13" i="4"/>
  <c r="D16" i="8"/>
  <c r="D14" i="4"/>
  <c r="D17" i="8"/>
  <c r="F11" i="4"/>
  <c r="F14" i="8"/>
  <c r="M20" i="6"/>
  <c r="O20"/>
  <c r="C13" i="4"/>
  <c r="C16" i="8"/>
  <c r="F14" i="4"/>
  <c r="F100" i="3"/>
  <c r="E57"/>
  <c r="F42"/>
  <c r="F11" i="8" s="1"/>
  <c r="E42" i="3"/>
  <c r="E87"/>
  <c r="E94"/>
  <c r="E81"/>
  <c r="E10"/>
  <c r="E17" s="1"/>
  <c r="E21"/>
  <c r="E22"/>
  <c r="E12"/>
  <c r="D74"/>
  <c r="D28"/>
  <c r="F28"/>
  <c r="C28"/>
  <c r="F65"/>
  <c r="E65"/>
  <c r="E74"/>
  <c r="G20" i="6"/>
  <c r="G21" s="1"/>
  <c r="E57"/>
  <c r="E33" i="5"/>
  <c r="D33" s="1"/>
  <c r="C33" s="1"/>
  <c r="E29"/>
  <c r="D29" s="1"/>
  <c r="C29" s="1"/>
  <c r="I31"/>
  <c r="J31" s="1"/>
  <c r="E11" i="3"/>
  <c r="F9" i="8"/>
  <c r="D9"/>
  <c r="I27" i="5"/>
  <c r="J27" s="1"/>
  <c r="E32"/>
  <c r="D32" s="1"/>
  <c r="C32" s="1"/>
  <c r="L32"/>
  <c r="L27"/>
  <c r="L29"/>
  <c r="M29" s="1"/>
  <c r="E30"/>
  <c r="D30" s="1"/>
  <c r="C30" s="1"/>
  <c r="M33"/>
  <c r="N33"/>
  <c r="I33"/>
  <c r="J33" s="1"/>
  <c r="L30"/>
  <c r="I28"/>
  <c r="J28" s="1"/>
  <c r="L28"/>
  <c r="M31"/>
  <c r="N31"/>
  <c r="U20" i="6"/>
  <c r="T20"/>
  <c r="W4"/>
  <c r="X19"/>
  <c r="N4"/>
  <c r="G55"/>
  <c r="G57" s="1"/>
  <c r="G58" s="1"/>
  <c r="E23" i="3"/>
  <c r="F57" i="6"/>
  <c r="E31" i="5"/>
  <c r="D31" s="1"/>
  <c r="C31" s="1"/>
  <c r="E11" i="8" l="1"/>
  <c r="Q11" s="1"/>
  <c r="F8" i="4"/>
  <c r="R9" i="8"/>
  <c r="L9"/>
  <c r="E14" i="4"/>
  <c r="E17" i="8"/>
  <c r="P16"/>
  <c r="J16"/>
  <c r="I14"/>
  <c r="O14"/>
  <c r="E11" i="4"/>
  <c r="E14" i="8"/>
  <c r="Q14" s="1"/>
  <c r="E12" i="4"/>
  <c r="E15" i="8"/>
  <c r="Q15" s="1"/>
  <c r="P9"/>
  <c r="J9"/>
  <c r="F10" i="4"/>
  <c r="F13" i="8"/>
  <c r="E9"/>
  <c r="E8" i="4"/>
  <c r="E10"/>
  <c r="E13" i="8"/>
  <c r="Q13" s="1"/>
  <c r="R14"/>
  <c r="L14"/>
  <c r="P15"/>
  <c r="J15"/>
  <c r="P13"/>
  <c r="J13"/>
  <c r="L11"/>
  <c r="R11"/>
  <c r="D11" i="4"/>
  <c r="D14" i="8"/>
  <c r="O15"/>
  <c r="I15"/>
  <c r="K15" s="1"/>
  <c r="O13"/>
  <c r="I13"/>
  <c r="R16"/>
  <c r="L16"/>
  <c r="L15"/>
  <c r="R15"/>
  <c r="E9" i="4"/>
  <c r="E12" i="8"/>
  <c r="E13" i="4"/>
  <c r="E16" i="8"/>
  <c r="I16"/>
  <c r="O16"/>
  <c r="C7" i="4"/>
  <c r="C10" i="8"/>
  <c r="F7" i="4"/>
  <c r="F10" i="8"/>
  <c r="C6" i="4"/>
  <c r="C9" i="8"/>
  <c r="D7" i="4"/>
  <c r="D10" i="8"/>
  <c r="F6" i="4"/>
  <c r="F99" i="3"/>
  <c r="C97"/>
  <c r="D97"/>
  <c r="E28"/>
  <c r="D6" i="4"/>
  <c r="F97" i="3"/>
  <c r="F102" s="1"/>
  <c r="M27" i="5"/>
  <c r="N27"/>
  <c r="N32"/>
  <c r="M32"/>
  <c r="N29"/>
  <c r="N28"/>
  <c r="M28"/>
  <c r="M30"/>
  <c r="N30"/>
  <c r="U21" i="6"/>
  <c r="T21"/>
  <c r="M9" i="4" l="1"/>
  <c r="J9"/>
  <c r="M12"/>
  <c r="J12"/>
  <c r="M14"/>
  <c r="J14"/>
  <c r="M13"/>
  <c r="J13"/>
  <c r="M11"/>
  <c r="J11"/>
  <c r="M10"/>
  <c r="J10"/>
  <c r="M8"/>
  <c r="J8"/>
  <c r="E97" i="3"/>
  <c r="E7" s="1"/>
  <c r="F15" i="4"/>
  <c r="K13" i="8"/>
  <c r="E6" i="4"/>
  <c r="P14" i="8"/>
  <c r="J14"/>
  <c r="K14" s="1"/>
  <c r="L13"/>
  <c r="R13"/>
  <c r="K16"/>
  <c r="D40" s="1"/>
  <c r="Q9"/>
  <c r="Q12"/>
  <c r="C46"/>
  <c r="C39"/>
  <c r="Q16"/>
  <c r="C47"/>
  <c r="C40"/>
  <c r="D106" i="3"/>
  <c r="D102"/>
  <c r="C15" i="4"/>
  <c r="I10" i="8"/>
  <c r="O10"/>
  <c r="R10"/>
  <c r="F18"/>
  <c r="L10"/>
  <c r="O9"/>
  <c r="O18" s="1"/>
  <c r="C24" s="1"/>
  <c r="E27" s="1"/>
  <c r="I9"/>
  <c r="C18"/>
  <c r="C22" s="1"/>
  <c r="C27" s="1"/>
  <c r="D15" i="4"/>
  <c r="J10" i="8"/>
  <c r="P10"/>
  <c r="D18"/>
  <c r="E7" i="4"/>
  <c r="E10" i="8"/>
  <c r="C45" s="1"/>
  <c r="M7" i="4" l="1"/>
  <c r="J7"/>
  <c r="M6"/>
  <c r="J6"/>
  <c r="D39" i="8"/>
  <c r="R18"/>
  <c r="R19" s="1"/>
  <c r="E31" s="1"/>
  <c r="P18"/>
  <c r="D24" s="1"/>
  <c r="E28" s="1"/>
  <c r="D47"/>
  <c r="E15" i="4"/>
  <c r="J15" s="1"/>
  <c r="L18" i="8"/>
  <c r="L19" s="1"/>
  <c r="D31" s="1"/>
  <c r="D46"/>
  <c r="C48"/>
  <c r="E47"/>
  <c r="E40"/>
  <c r="E46"/>
  <c r="E39"/>
  <c r="C38"/>
  <c r="C41" s="1"/>
  <c r="F24"/>
  <c r="E30" s="1"/>
  <c r="D22"/>
  <c r="C28" s="1"/>
  <c r="D19"/>
  <c r="F22"/>
  <c r="C30" s="1"/>
  <c r="F19"/>
  <c r="C31" s="1"/>
  <c r="K9"/>
  <c r="I18"/>
  <c r="C23" s="1"/>
  <c r="D27" s="1"/>
  <c r="Q10"/>
  <c r="Q18" s="1"/>
  <c r="E24" s="1"/>
  <c r="E29" s="1"/>
  <c r="E18"/>
  <c r="E22" s="1"/>
  <c r="C29" s="1"/>
  <c r="K10"/>
  <c r="K18" s="1"/>
  <c r="E23" s="1"/>
  <c r="D29" s="1"/>
  <c r="J18"/>
  <c r="B5" i="10" l="1"/>
  <c r="C18" s="1"/>
  <c r="D18" s="1"/>
  <c r="M15" i="4"/>
  <c r="P19" i="8"/>
  <c r="F23"/>
  <c r="D30" s="1"/>
  <c r="E45"/>
  <c r="E48" s="1"/>
  <c r="D45"/>
  <c r="D48" s="1"/>
  <c r="D38"/>
  <c r="D41" s="1"/>
  <c r="E38"/>
  <c r="E41" s="1"/>
  <c r="D23"/>
  <c r="D28" s="1"/>
  <c r="J19"/>
  <c r="C11" i="10" l="1"/>
  <c r="D11" s="1"/>
  <c r="C8"/>
  <c r="D8" s="1"/>
  <c r="C16"/>
  <c r="D16" s="1"/>
  <c r="C17"/>
  <c r="D17" s="1"/>
  <c r="C12"/>
  <c r="D12" s="1"/>
  <c r="C19"/>
  <c r="D19" s="1"/>
  <c r="C20"/>
  <c r="D20" s="1"/>
  <c r="C14"/>
  <c r="C13"/>
  <c r="D13" s="1"/>
  <c r="C10"/>
  <c r="D10" s="1"/>
  <c r="C9"/>
  <c r="D9" s="1"/>
  <c r="C15"/>
  <c r="D15" s="1"/>
  <c r="D22" l="1"/>
  <c r="C22"/>
</calcChain>
</file>

<file path=xl/comments1.xml><?xml version="1.0" encoding="utf-8"?>
<comments xmlns="http://schemas.openxmlformats.org/spreadsheetml/2006/main">
  <authors>
    <author>Charlie Grist</author>
    <author>hertz</author>
  </authors>
  <commentList>
    <comment ref="D8" authorId="0">
      <text>
        <r>
          <rPr>
            <b/>
            <sz val="9"/>
            <color indexed="81"/>
            <rFont val="Tahoma"/>
            <family val="2"/>
          </rPr>
          <t>Charlie Grist:</t>
        </r>
        <r>
          <rPr>
            <sz val="9"/>
            <color indexed="81"/>
            <rFont val="Tahoma"/>
            <family val="2"/>
          </rPr>
          <t xml:space="preserve">
RTF staff costs for measure review include crafting  the SOWs, management of contractor deliverables, subcommittee staffing, bringing proposals to RTF, and depositing results of RTF decisions into RTF library as appropriate. </t>
        </r>
      </text>
    </comment>
    <comment ref="H10" authorId="1">
      <text>
        <r>
          <rPr>
            <b/>
            <sz val="9"/>
            <color indexed="81"/>
            <rFont val="Tahoma"/>
            <family val="2"/>
          </rPr>
          <t>Reduced from 10 to 5
($35K)</t>
        </r>
      </text>
    </comment>
    <comment ref="H11" authorId="1">
      <text>
        <r>
          <rPr>
            <b/>
            <sz val="9"/>
            <color indexed="81"/>
            <rFont val="Tahoma"/>
            <family val="2"/>
          </rPr>
          <t>Reduced from 10 to 5
($30)</t>
        </r>
      </text>
    </comment>
    <comment ref="B16" authorId="1">
      <text>
        <r>
          <rPr>
            <b/>
            <sz val="9"/>
            <color indexed="81"/>
            <rFont val="Tahoma"/>
            <family val="2"/>
          </rPr>
          <t>Added new line item for finishing recommendations memo (from 2011 WP)
($96K+$36K+$42K+$28K+$30K )</t>
        </r>
      </text>
    </comment>
    <comment ref="H21" authorId="1">
      <text>
        <r>
          <rPr>
            <b/>
            <sz val="9"/>
            <color indexed="81"/>
            <rFont val="Tahoma"/>
            <family val="2"/>
          </rPr>
          <t>Reduce from 4 to 2 to accommodate recommendation memos</t>
        </r>
      </text>
    </comment>
    <comment ref="H22" authorId="1">
      <text>
        <r>
          <rPr>
            <b/>
            <sz val="9"/>
            <color indexed="81"/>
            <rFont val="Tahoma"/>
            <family val="2"/>
          </rPr>
          <t>Reduce from 4 to 2 to accommodate recommendation memos</t>
        </r>
      </text>
    </comment>
    <comment ref="H24" authorId="1">
      <text>
        <r>
          <rPr>
            <b/>
            <sz val="9"/>
            <color indexed="81"/>
            <rFont val="Tahoma"/>
            <family val="2"/>
          </rPr>
          <t>Reduced from 4 to 0 ($96K)</t>
        </r>
      </text>
    </comment>
  </commentList>
</comments>
</file>

<file path=xl/comments2.xml><?xml version="1.0" encoding="utf-8"?>
<comments xmlns="http://schemas.openxmlformats.org/spreadsheetml/2006/main">
  <authors>
    <author>Charlie Grist</author>
  </authors>
  <commentList>
    <comment ref="E4" authorId="0">
      <text>
        <r>
          <rPr>
            <b/>
            <sz val="9"/>
            <color indexed="81"/>
            <rFont val="Tahoma"/>
            <family val="2"/>
          </rPr>
          <t>Charlie Grist:</t>
        </r>
        <r>
          <rPr>
            <sz val="9"/>
            <color indexed="81"/>
            <rFont val="Tahoma"/>
            <family val="2"/>
          </rPr>
          <t xml:space="preserve">
Updated estimate from Terry Morlan September 2011</t>
        </r>
      </text>
    </comment>
    <comment ref="N6" authorId="0">
      <text>
        <r>
          <rPr>
            <b/>
            <sz val="9"/>
            <color indexed="81"/>
            <rFont val="Tahoma"/>
            <family val="2"/>
          </rPr>
          <t>Charlie Grist:</t>
        </r>
        <r>
          <rPr>
            <sz val="9"/>
            <color indexed="81"/>
            <rFont val="Tahoma"/>
            <family val="2"/>
          </rPr>
          <t xml:space="preserve">
Use average staff rate times overhead multiplier of 1.4 from Sharon Ossmann</t>
        </r>
      </text>
    </comment>
    <comment ref="N20" authorId="0">
      <text>
        <r>
          <rPr>
            <b/>
            <sz val="9"/>
            <color indexed="81"/>
            <rFont val="Tahoma"/>
            <family val="2"/>
          </rPr>
          <t>Charlie Grist:</t>
        </r>
        <r>
          <rPr>
            <sz val="9"/>
            <color indexed="81"/>
            <rFont val="Tahoma"/>
            <family val="2"/>
          </rPr>
          <t xml:space="preserve">
Use average staff rate times overhead multiplier of 1.4.</t>
        </r>
      </text>
    </comment>
  </commentList>
</comments>
</file>

<file path=xl/comments3.xml><?xml version="1.0" encoding="utf-8"?>
<comments xmlns="http://schemas.openxmlformats.org/spreadsheetml/2006/main">
  <authors>
    <author>Charlie Grist</author>
  </authors>
  <commentList>
    <comment ref="C9" author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comments4.xml><?xml version="1.0" encoding="utf-8"?>
<comments xmlns="http://schemas.openxmlformats.org/spreadsheetml/2006/main">
  <authors>
    <author>Charlie Grist</author>
  </authors>
  <commentList>
    <comment ref="D8" authorId="0">
      <text>
        <r>
          <rPr>
            <b/>
            <sz val="9"/>
            <color indexed="81"/>
            <rFont val="Tahoma"/>
            <family val="2"/>
          </rPr>
          <t>Charlie Grist:</t>
        </r>
        <r>
          <rPr>
            <sz val="9"/>
            <color indexed="81"/>
            <rFont val="Tahoma"/>
            <family val="2"/>
          </rPr>
          <t xml:space="preserve">
RTF staff costs for measure review include crafting  the SOWs, management of contractor deliverables, subcommittee staffing, bringing proposals to RTF, and depositing results of RTF decisions into RTF library as appropriate. </t>
        </r>
      </text>
    </comment>
  </commentList>
</comments>
</file>

<file path=xl/comments5.xml><?xml version="1.0" encoding="utf-8"?>
<comments xmlns="http://schemas.openxmlformats.org/spreadsheetml/2006/main">
  <authors>
    <author>Charlie Grist</author>
  </authors>
  <commentList>
    <comment ref="D8" authorId="0">
      <text>
        <r>
          <rPr>
            <b/>
            <sz val="9"/>
            <color indexed="81"/>
            <rFont val="Tahoma"/>
            <family val="2"/>
          </rPr>
          <t>Charlie Grist:</t>
        </r>
        <r>
          <rPr>
            <sz val="9"/>
            <color indexed="81"/>
            <rFont val="Tahoma"/>
            <family val="2"/>
          </rPr>
          <t xml:space="preserve">
RTF staff costs for measure review include crafting  the SOWs, management of contractor deliverables, subcommittee staffing, bringing proposals to RTF, and depositing results of RTF decisions into RTF library as appropriate. </t>
        </r>
      </text>
    </comment>
  </commentList>
</comments>
</file>

<file path=xl/comments6.xml><?xml version="1.0" encoding="utf-8"?>
<comments xmlns="http://schemas.openxmlformats.org/spreadsheetml/2006/main">
  <authors>
    <author>hertz</author>
  </authors>
  <commentList>
    <comment ref="B11" authorId="0">
      <text>
        <r>
          <rPr>
            <b/>
            <sz val="9"/>
            <color indexed="81"/>
            <rFont val="Tahoma"/>
            <family val="2"/>
          </rPr>
          <t>Added new line item for finishing recommendations memos from 2011 WP.  
($28K+$30K+$36K+$42K++$96K )</t>
        </r>
      </text>
    </comment>
  </commentList>
</comments>
</file>

<file path=xl/sharedStrings.xml><?xml version="1.0" encoding="utf-8"?>
<sst xmlns="http://schemas.openxmlformats.org/spreadsheetml/2006/main" count="690" uniqueCount="302">
  <si>
    <t>Coordinate annual comparison of utility/SBC administrator TRM</t>
  </si>
  <si>
    <t>Might be an in-house project only (no contract).</t>
  </si>
  <si>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</si>
  <si>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</si>
  <si>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</si>
  <si>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</si>
  <si>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</si>
  <si>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</si>
  <si>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</si>
  <si>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</si>
  <si>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</si>
  <si>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</si>
  <si>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</si>
  <si>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</si>
  <si>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</si>
  <si>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</si>
  <si>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</si>
  <si>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</si>
  <si>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</si>
  <si>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</si>
  <si>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Minimum Retained as Council Function</t>
  </si>
  <si>
    <t>To Contract FTE</t>
  </si>
  <si>
    <t>Convert existing "deemed calculators" to Standard/Provisional protocols</t>
  </si>
  <si>
    <t>Placeholder</t>
  </si>
  <si>
    <t>Note</t>
  </si>
  <si>
    <t>Provisional to Active UES Measures</t>
  </si>
  <si>
    <t>Standard &amp; Provisional Protocols</t>
  </si>
  <si>
    <t>Finalize and adopt guidelines on measure cost &amp; non-energy-benefits</t>
  </si>
  <si>
    <t>Finalize and adopt guidelines on measure life</t>
  </si>
  <si>
    <t xml:space="preserve">Develop New Measures for Small &amp; Rural </t>
  </si>
  <si>
    <t>Convert Load Shapes to 8760</t>
  </si>
  <si>
    <t>Develop guidelines &amp; methods for conservation load shape, CF and LF</t>
  </si>
  <si>
    <t>Calendar 2012</t>
  </si>
  <si>
    <t>Data Warehousing (Heat Pump Water Heater, Ductless HP, RTUG,?)</t>
  </si>
  <si>
    <t>RTF Meetings , phone, web conference, meeting minutes</t>
  </si>
  <si>
    <t>RTF Members and Corresponding Members meeting and project support.</t>
  </si>
  <si>
    <t xml:space="preserve"> RTF member support for meetings, travel, and specific project reviews</t>
  </si>
  <si>
    <t>RTF Member Support &amp; Administration</t>
  </si>
  <si>
    <t>Subtotal New Work</t>
  </si>
  <si>
    <t>Develop and execute RTF evaluation work plan</t>
  </si>
  <si>
    <t>Develop/Revise Heat Pump Sizing Tool</t>
  </si>
  <si>
    <t>Develop Conservation Load Shape Calculator Tool</t>
  </si>
  <si>
    <t>1 day/wk</t>
  </si>
  <si>
    <t>2 day/wk</t>
  </si>
  <si>
    <t>1 day/mo</t>
  </si>
  <si>
    <t>2 day/mo</t>
  </si>
  <si>
    <t>3 day/mo</t>
  </si>
  <si>
    <t>RTF Staff cost per unit</t>
  </si>
  <si>
    <t>Council Staff cost per unit</t>
  </si>
  <si>
    <t>Total New Work 2012</t>
  </si>
  <si>
    <t>Research Projects &amp; Data Development</t>
  </si>
  <si>
    <t>Fixed</t>
  </si>
  <si>
    <t>Scalable.  See Category Detail.</t>
  </si>
  <si>
    <t>Options in Category Detail</t>
  </si>
  <si>
    <t>Estimate of NPCC Staff Administration Cost for RTF (2012)</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</si>
  <si>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</si>
  <si>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</si>
  <si>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</si>
  <si>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</si>
  <si>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</si>
  <si>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</si>
  <si>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</si>
  <si>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</si>
  <si>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</si>
  <si>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</si>
  <si>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</si>
  <si>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</si>
  <si>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</si>
  <si>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</si>
  <si>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</si>
  <si>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</si>
  <si>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</si>
  <si>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</si>
  <si>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</si>
  <si>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RTF Staff</t>
  </si>
  <si>
    <t xml:space="preserve">Website, Database support, Conservation Tracking </t>
  </si>
  <si>
    <t>Category</t>
  </si>
  <si>
    <t>Standardization of Technical Analysis</t>
  </si>
  <si>
    <t>Develop guidelines for instrumentation including calibration</t>
  </si>
  <si>
    <t>Develop guidelines for true power measurement</t>
  </si>
  <si>
    <t>Develop  template, standards &amp; guidelines for RTF calculators</t>
  </si>
  <si>
    <t>Other Updates to Guidelines for RTF Savings Estimation Methods as needed</t>
  </si>
  <si>
    <t>Complete Appendix D of Guidelines for RTF Savings Estimation Methods</t>
  </si>
  <si>
    <t>RTF Management</t>
  </si>
  <si>
    <t>Existing Measure Review &amp; Updates</t>
  </si>
  <si>
    <t>Contract</t>
  </si>
  <si>
    <t>Month</t>
  </si>
  <si>
    <t>Week</t>
  </si>
  <si>
    <t>Day</t>
  </si>
  <si>
    <t>Hour</t>
  </si>
  <si>
    <t>Annual</t>
  </si>
  <si>
    <t>Rate</t>
  </si>
  <si>
    <t>1 Day</t>
  </si>
  <si>
    <t>2 Day</t>
  </si>
  <si>
    <t>3 Day</t>
  </si>
  <si>
    <t>1 Week</t>
  </si>
  <si>
    <t>2 Week</t>
  </si>
  <si>
    <t>3 Week</t>
  </si>
  <si>
    <t>Contracts</t>
  </si>
  <si>
    <t>Develop Guidelines</t>
  </si>
  <si>
    <t>End Use Load Data (Convert raw ELCAP Data to modern database)</t>
  </si>
  <si>
    <t>Tool Development</t>
  </si>
  <si>
    <t>ProCost: Users Manual for RTF proposers</t>
  </si>
  <si>
    <t>ProCost:  Early Retrofit Mode Built</t>
  </si>
  <si>
    <t>ProCost:  Recode to handle 8760 load shapes</t>
  </si>
  <si>
    <t>ProCost:  Automate Post Processing</t>
  </si>
  <si>
    <t>SEEM Training</t>
  </si>
  <si>
    <t>SEEM Development</t>
  </si>
  <si>
    <t>New Measure Development &amp; Review of Unsolicited Proposals</t>
  </si>
  <si>
    <t>Develop guidelines for third-party software</t>
  </si>
  <si>
    <t>ProCost:  Marginal Line Loss Calculations Added and tested</t>
  </si>
  <si>
    <t>ProCost:  Adaptation for EE Central</t>
  </si>
  <si>
    <t>Subtotal Funders</t>
  </si>
  <si>
    <t>Council Staff</t>
  </si>
  <si>
    <t>Review of Evaluation Plans as Requested</t>
  </si>
  <si>
    <t>n units</t>
  </si>
  <si>
    <t>Contract cost per unit</t>
  </si>
  <si>
    <t>Regional Coordination</t>
  </si>
  <si>
    <t>Facilitate collaborative regional evaluation of PTCS</t>
  </si>
  <si>
    <t>Annual Conservation Tracking Report</t>
  </si>
  <si>
    <t>Website development and management</t>
  </si>
  <si>
    <t>End Use Load Data Library Development</t>
  </si>
  <si>
    <t>Review New UES developed by a proposer</t>
  </si>
  <si>
    <t xml:space="preserve">Periodic Update of Active UES </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</si>
  <si>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</si>
  <si>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</si>
  <si>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</si>
  <si>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</si>
  <si>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Update Active UES Measures &amp; Measure Specifications</t>
  </si>
  <si>
    <t>Assume 5 for now.  Need to get RTF to prioritize.</t>
  </si>
  <si>
    <t>Review New Protocol &amp; Calculator developed by a proposer</t>
  </si>
  <si>
    <t>Assume RTF contractor does much of the key development, research, data analysis, and presentation</t>
  </si>
  <si>
    <t xml:space="preserve">Convert deemed calculator to Guideline-compliant standard protocol &amp; calculator </t>
  </si>
  <si>
    <t>Develop Guideline-compliant standard protocol (no calculator)</t>
  </si>
  <si>
    <t>Develop Simple Calculator &amp; Protocol</t>
  </si>
  <si>
    <t>Develop a Protocol</t>
  </si>
  <si>
    <t>Large range depending on scope and complexity</t>
  </si>
  <si>
    <t>Estimate based on initial round of review, document and update to Guideline standards</t>
  </si>
  <si>
    <t>Typically one to two meetings per month for active committees</t>
  </si>
  <si>
    <t>Technical Work Rates</t>
  </si>
  <si>
    <t>Cost</t>
  </si>
  <si>
    <t>Once updated to Guideline standards, the cost of review declines</t>
  </si>
  <si>
    <t>Review of source data and analysis required by staff &amp; subcommittee</t>
  </si>
  <si>
    <t>Produce a Calculator for a Protocol</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</si>
  <si>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</si>
  <si>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</si>
  <si>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</si>
  <si>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</si>
  <si>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</si>
  <si>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</si>
  <si>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</si>
  <si>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</si>
  <si>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</si>
  <si>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</si>
  <si>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</si>
  <si>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</si>
  <si>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</si>
  <si>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</si>
  <si>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</si>
  <si>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Review High-Priority New Standard Protocols with Calculators</t>
  </si>
  <si>
    <t>Review High-Priority New UES</t>
  </si>
  <si>
    <t xml:space="preserve">Optional pending desirability by funders </t>
  </si>
  <si>
    <t>Defer until demonstrated need.  May be able to adopt others standards.</t>
  </si>
  <si>
    <t xml:space="preserve">Defer until demonstrated value to guideline.  Take on a case by case basis for now.  </t>
  </si>
  <si>
    <t>Develop New UES with RTF Resources</t>
  </si>
  <si>
    <t>Develop New Protocols with RTF Resources</t>
  </si>
  <si>
    <t>Develop New UES with RTF resources</t>
  </si>
  <si>
    <t>Enter Values in these columns for UES/Protocol</t>
  </si>
  <si>
    <t>Cells are linked to worksheet  "Category"</t>
  </si>
  <si>
    <t>Grayed out text for deferred or eliminated work</t>
  </si>
  <si>
    <t>Shift to Council budget</t>
  </si>
  <si>
    <t>Assumes no re-programming required.  Otherwise $12K.</t>
  </si>
  <si>
    <r>
      <rPr>
        <sz val="12"/>
        <rFont val="Arial"/>
        <family val="2"/>
      </rPr>
      <t>Update</t>
    </r>
    <r>
      <rPr>
        <sz val="12"/>
        <color indexed="8"/>
        <rFont val="Arial"/>
        <family val="2"/>
      </rPr>
      <t xml:space="preserve"> Ventilation Calc Tool for Residential</t>
    </r>
  </si>
  <si>
    <t>Training for RTF members only</t>
  </si>
  <si>
    <t xml:space="preserve">Simplifying user-input for heat pump HSPF and control strategy.  </t>
  </si>
  <si>
    <t xml:space="preserve">Residential weatherization/ventilation subcommittee to help guide this.  Assumes updates to the calculator as changes are made to the ASHRAE 62.2 standard.  </t>
  </si>
  <si>
    <t>Standardize analytical methods for early retrofit mode.</t>
  </si>
  <si>
    <t>PTCS Subcommittee</t>
  </si>
  <si>
    <t xml:space="preserve">Purpose is to help prioritize RTF work plan </t>
  </si>
  <si>
    <t>Performance Tested Comfort Systems (PTCS)</t>
  </si>
  <si>
    <t>Annual Report</t>
  </si>
  <si>
    <t>Tech</t>
  </si>
  <si>
    <t>Admin</t>
  </si>
  <si>
    <t>Calendar 2013</t>
  </si>
  <si>
    <t>Calendar 2014</t>
  </si>
  <si>
    <t>Scale Factor</t>
  </si>
  <si>
    <t>manual</t>
  </si>
  <si>
    <t>Decrease pace of tool development.</t>
  </si>
  <si>
    <t>Hold constant for 3-year review cycle for all existing measures.  Decrease in cost of updates beginning 2015 cycle.</t>
  </si>
  <si>
    <t>Decrease after initial push to document methods and standards.</t>
  </si>
  <si>
    <t>Increase rate of new measure and protocol development.</t>
  </si>
  <si>
    <t>Increase assuming regional value.</t>
  </si>
  <si>
    <t>Constant.</t>
  </si>
  <si>
    <t>Shift some Council staff duties to RTF Contract staff or new Council staff as proceedures become standardized.</t>
  </si>
  <si>
    <t>Sheet Name</t>
  </si>
  <si>
    <t>Notes</t>
  </si>
  <si>
    <t>Category Level Budget for 2012</t>
  </si>
  <si>
    <t>Category Level Budget for 2012-2014</t>
  </si>
  <si>
    <t>Estimate of NPCC In-Kind Costs</t>
  </si>
  <si>
    <t>Table of Contents</t>
  </si>
  <si>
    <t>Typical Rates for RTF Activities</t>
  </si>
  <si>
    <t>Category (2012)</t>
  </si>
  <si>
    <t>Category Detail (2012)</t>
  </si>
  <si>
    <t>Category (2012-2014)</t>
  </si>
  <si>
    <t>NPCC In Kind</t>
  </si>
  <si>
    <t>Typical Rates</t>
  </si>
  <si>
    <t>Category-level budget for 2012.  High-level division of RTF work product categories.  The pink rows are scalable – number of measure reviews or guidelines  per year for example.  The green rows are more or less optional activities that have been requested of RTF from time to time or would be useful.  The blue rows are fixed costs the RTF must bear.  All data in this sheet are linked to the sheet “Category Detail” so don’t change things here.</t>
  </si>
  <si>
    <t xml:space="preserve"> Assumptions used to estimate approximate costs of contractor, and RTF staff work.  Use as a reference.    </t>
  </si>
  <si>
    <t>Breakdown of NPCC staff cost estimates.</t>
  </si>
  <si>
    <t>Detailed budget for 2012.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</si>
  <si>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Three year work plan by category.  No detail for out years.  Uses scaling factors for category level totals.</t>
  </si>
  <si>
    <t>Budget Category Detail Worksheet for 2012</t>
  </si>
  <si>
    <t>Cells are linked to worksheet  "Category" for 2012</t>
  </si>
  <si>
    <t>Minutes $24K, phone/web conference $7K</t>
  </si>
  <si>
    <t>Organization</t>
  </si>
  <si>
    <t>Share of RTF Budget</t>
  </si>
  <si>
    <t>Proposed Contribution to RTF Budget Rounded</t>
  </si>
  <si>
    <t>Committed as of end of December 2010</t>
  </si>
  <si>
    <t>Committed as of April 2011</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</si>
  <si>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</si>
  <si>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</si>
  <si>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</si>
  <si>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</si>
  <si>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</si>
  <si>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</si>
  <si>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</si>
  <si>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</si>
  <si>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</si>
  <si>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</si>
  <si>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</si>
  <si>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</si>
  <si>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</si>
  <si>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</si>
  <si>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Note:  This is temporary pending RTF PAC Resolution</t>
  </si>
  <si>
    <t>Estimated Funding Shares</t>
  </si>
  <si>
    <t>Based on Funding Level</t>
  </si>
  <si>
    <t>Funding Shares</t>
  </si>
  <si>
    <t xml:space="preserve">Funding shares by sponsors based on  NEEA formula previously used.  This is a placeholder.  RTF Policy Advisory Committee is considering other funding share options.  </t>
  </si>
  <si>
    <t>Review Unsolicited New UES or New Protocols</t>
  </si>
  <si>
    <t>Collect and Summarize Evaluation activity and spending by Utilities, BPA, ETO</t>
  </si>
  <si>
    <t>TRM- Technical Resource Manuals. Comparison used as basis for determining which non-RTF measures/protocols held "in common".  Helps prioritize RTF work plan elements.</t>
  </si>
  <si>
    <t>RTF web site continues hosting and maintaining some data sources for public reference</t>
  </si>
  <si>
    <t xml:space="preserve">Manage RTF work flow, develop agenda &amp; procedures &amp; budgets &amp; SOWs </t>
  </si>
  <si>
    <t xml:space="preserve">Manage RTF business activities, contracts, financial, bylaws, RTFPAC </t>
  </si>
  <si>
    <t>Michael Schilmoeller</t>
  </si>
  <si>
    <t>Web Site, Databases</t>
  </si>
  <si>
    <t>Typical cost for common RTF activities</t>
  </si>
  <si>
    <t>Convert old deemed measure to Active UES</t>
  </si>
  <si>
    <t>Provisional to Active UES</t>
  </si>
  <si>
    <t>Assumes proposer delivers a well-developed proposal that meets Guideline standards</t>
  </si>
  <si>
    <t>Develop Protocol and Calculator</t>
  </si>
  <si>
    <t>Northwestern Energy</t>
  </si>
  <si>
    <t>CY 2012</t>
  </si>
  <si>
    <t>CY 2013</t>
  </si>
  <si>
    <t>CY 2014</t>
  </si>
  <si>
    <t>n per $120K</t>
  </si>
  <si>
    <t>Council Staff In Kind Contribution</t>
  </si>
  <si>
    <t>Council Staff FTE</t>
  </si>
  <si>
    <t>Measure Review &amp; Technical Analysis</t>
  </si>
  <si>
    <t>Tools, Research, Data &amp; Regional Coordination</t>
  </si>
  <si>
    <t>Total Including Council</t>
  </si>
  <si>
    <t>Contract Review of Workbooks for Spreadsheet &amp; Implementation Errors</t>
  </si>
  <si>
    <t>Set aside for one-day contract review of workbooks for calcualtion errors and faithful representation of methodology</t>
  </si>
  <si>
    <t>Added $20K to cover ongoing work on program impact evaluation guidelines</t>
  </si>
  <si>
    <t>Review &amp; Develop Plans for Out of Compliance Measures</t>
  </si>
  <si>
    <t>Detail by Categoy</t>
  </si>
  <si>
    <t>Category Detail (2012 Initial)</t>
  </si>
  <si>
    <t>Initial Draft September</t>
  </si>
  <si>
    <t>Change from Initial Draft</t>
  </si>
  <si>
    <t xml:space="preserve">First draft of workplan September </t>
  </si>
  <si>
    <t>Draft of Septmber 21, 2011</t>
  </si>
  <si>
    <t>Final Draft - November 18, 2011</t>
  </si>
  <si>
    <t>Council Staff In-Kind Contribution</t>
  </si>
  <si>
    <t>Contract
RTF Staff</t>
  </si>
  <si>
    <t>Subtotal
Funders</t>
  </si>
  <si>
    <t>* Northwestern's contribution fixed at $30,000.  The RTF will adjust its work plan accordingly.</t>
  </si>
  <si>
    <t>Conversion to Small Saver UES</t>
  </si>
  <si>
    <t xml:space="preserve">Review Unsolicited New UES or New Protocols </t>
  </si>
  <si>
    <t>reduced $96K</t>
  </si>
  <si>
    <t>reduced by $30K</t>
  </si>
  <si>
    <t>reduced by $36K</t>
  </si>
  <si>
    <t>reduced by $42K</t>
  </si>
  <si>
    <t>Adopted by RTF November</t>
  </si>
  <si>
    <t>Change (Proposed minus November)</t>
  </si>
  <si>
    <t>Staff Proposed Revisions January 2012</t>
  </si>
  <si>
    <t>Approved November</t>
  </si>
  <si>
    <t>Proposed Revision</t>
  </si>
  <si>
    <t>increased by $232K</t>
  </si>
  <si>
    <t>Calendar 2012 (Revised January 2012)</t>
  </si>
  <si>
    <t>Reduced</t>
  </si>
  <si>
    <t>Removed</t>
  </si>
  <si>
    <t>Added</t>
  </si>
  <si>
    <t>Expanded</t>
  </si>
  <si>
    <t>Change From Initial Draft</t>
  </si>
  <si>
    <t>Change From Final for Subtotal Funders</t>
  </si>
  <si>
    <t>reduced by $28K</t>
  </si>
  <si>
    <t>Subtotal Existing Measure Review &amp; Updates</t>
  </si>
  <si>
    <t>Subtotal New Measure Development &amp; Review of Unsolicited Proposals</t>
  </si>
  <si>
    <t>Difference</t>
  </si>
  <si>
    <t>RTF-Approved November 2011</t>
  </si>
  <si>
    <t>Proposed January 2012 Revision</t>
  </si>
  <si>
    <t>Develop remaining recommendation memos from 2011 workplan</t>
  </si>
</sst>
</file>

<file path=xl/styles.xml><?xml version="1.0" encoding="utf-8"?>
<styleSheet xmlns="http://schemas.openxmlformats.org/spreadsheetml/2006/main">
  <numFmts count="9">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s>
  <fonts count="33">
    <font>
      <sz val="11"/>
      <color theme="1"/>
      <name val="Calibri"/>
      <family val="2"/>
      <scheme val="minor"/>
    </font>
    <font>
      <sz val="10"/>
      <color indexed="8"/>
      <name val="Arial"/>
      <family val="2"/>
    </font>
    <font>
      <sz val="10"/>
      <color indexed="8"/>
      <name val="Arial"/>
      <family val="2"/>
    </font>
    <font>
      <sz val="10"/>
      <color indexed="8"/>
      <name val="Arial"/>
      <family val="2"/>
    </font>
    <font>
      <sz val="11"/>
      <color indexed="8"/>
      <name val="Calibri"/>
      <family val="2"/>
    </font>
    <font>
      <sz val="10"/>
      <name val="Arial"/>
      <family val="2"/>
    </font>
    <font>
      <b/>
      <sz val="11"/>
      <color theme="1"/>
      <name val="Calibri"/>
      <family val="2"/>
      <scheme val="minor"/>
    </font>
    <font>
      <b/>
      <sz val="10"/>
      <color indexed="8"/>
      <name val="Arial"/>
      <family val="2"/>
    </font>
    <font>
      <b/>
      <sz val="12"/>
      <color indexed="8"/>
      <name val="Arial"/>
      <family val="2"/>
    </font>
    <font>
      <sz val="12"/>
      <color indexed="8"/>
      <name val="Arial"/>
      <family val="2"/>
    </font>
    <font>
      <sz val="8"/>
      <color theme="1"/>
      <name val="Calibri"/>
      <family val="2"/>
      <scheme val="minor"/>
    </font>
    <font>
      <sz val="11"/>
      <color indexed="8"/>
      <name val="Arial"/>
      <family val="2"/>
    </font>
    <font>
      <b/>
      <sz val="10"/>
      <name val="Arial"/>
      <family val="2"/>
    </font>
    <font>
      <b/>
      <sz val="9"/>
      <color indexed="81"/>
      <name val="Tahoma"/>
      <family val="2"/>
    </font>
    <font>
      <sz val="9"/>
      <color indexed="81"/>
      <name val="Tahoma"/>
      <family val="2"/>
    </font>
    <font>
      <i/>
      <sz val="11"/>
      <color theme="1"/>
      <name val="Calibri"/>
      <family val="2"/>
      <scheme val="minor"/>
    </font>
    <font>
      <sz val="11"/>
      <name val="Calibri"/>
      <family val="2"/>
      <scheme val="minor"/>
    </font>
    <font>
      <sz val="11"/>
      <color rgb="FF00B050"/>
      <name val="Calibri"/>
      <family val="2"/>
      <scheme val="minor"/>
    </font>
    <font>
      <sz val="11"/>
      <color rgb="FF00B050"/>
      <name val="Arial"/>
      <family val="2"/>
    </font>
    <font>
      <sz val="11"/>
      <color rgb="FF0070C0"/>
      <name val="Calibri"/>
      <family val="2"/>
      <scheme val="minor"/>
    </font>
    <font>
      <sz val="8"/>
      <name val="Verdana"/>
    </font>
    <font>
      <sz val="11"/>
      <color indexed="11"/>
      <name val="Calibri"/>
    </font>
    <font>
      <sz val="11"/>
      <name val="Calibri"/>
      <family val="2"/>
    </font>
    <font>
      <sz val="12"/>
      <name val="Arial"/>
      <family val="2"/>
    </font>
    <font>
      <sz val="11"/>
      <name val="Arial"/>
      <family val="2"/>
    </font>
    <font>
      <sz val="11"/>
      <color theme="1"/>
      <name val="Calibri"/>
      <family val="2"/>
      <scheme val="minor"/>
    </font>
    <font>
      <sz val="11"/>
      <color theme="1" tint="0.499984740745262"/>
      <name val="Calibri"/>
      <family val="2"/>
      <scheme val="minor"/>
    </font>
    <font>
      <sz val="12"/>
      <color theme="0" tint="-0.499984740745262"/>
      <name val="Arial"/>
      <family val="2"/>
    </font>
    <font>
      <sz val="11"/>
      <color theme="0" tint="-0.499984740745262"/>
      <name val="Calibri"/>
      <family val="2"/>
      <scheme val="minor"/>
    </font>
    <font>
      <sz val="11"/>
      <color theme="0" tint="-0.34998626667073579"/>
      <name val="Calibri"/>
      <family val="2"/>
      <scheme val="minor"/>
    </font>
    <font>
      <sz val="18"/>
      <color theme="1"/>
      <name val="Calibri"/>
      <family val="2"/>
      <scheme val="minor"/>
    </font>
    <font>
      <sz val="11"/>
      <color theme="0" tint="-0.499984740745262"/>
      <name val="Arial"/>
      <family val="2"/>
    </font>
    <font>
      <b/>
      <sz val="14"/>
      <color indexed="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C000"/>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s>
  <cellStyleXfs count="8">
    <xf numFmtId="0" fontId="0" fillId="0" borderId="0"/>
    <xf numFmtId="44" fontId="4"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43" fontId="5" fillId="0" borderId="0" applyFont="0" applyFill="0" applyBorder="0" applyAlignment="0" applyProtection="0"/>
    <xf numFmtId="43" fontId="25" fillId="0" borderId="0" applyFont="0" applyFill="0" applyBorder="0" applyAlignment="0" applyProtection="0"/>
  </cellStyleXfs>
  <cellXfs count="278">
    <xf numFmtId="0" fontId="0" fillId="0" borderId="0" xfId="0"/>
    <xf numFmtId="0" fontId="9" fillId="0" borderId="0" xfId="0" applyFont="1"/>
    <xf numFmtId="0" fontId="0" fillId="0" borderId="0" xfId="0" applyAlignment="1">
      <alignment wrapText="1"/>
    </xf>
    <xf numFmtId="5" fontId="0" fillId="0" borderId="0" xfId="1" applyNumberFormat="1" applyFont="1" applyAlignment="1">
      <alignment horizontal="center" vertical="center"/>
    </xf>
    <xf numFmtId="5" fontId="0" fillId="0" borderId="0" xfId="0" applyNumberFormat="1"/>
    <xf numFmtId="0" fontId="8" fillId="0" borderId="0" xfId="0" applyFont="1" applyAlignment="1">
      <alignment wrapText="1"/>
    </xf>
    <xf numFmtId="0" fontId="10" fillId="0" borderId="0" xfId="0" applyFont="1" applyAlignment="1">
      <alignment horizontal="right"/>
    </xf>
    <xf numFmtId="164" fontId="0" fillId="0" borderId="0" xfId="1" applyNumberFormat="1" applyFont="1" applyAlignment="1">
      <alignment wrapText="1"/>
    </xf>
    <xf numFmtId="0" fontId="11" fillId="0" borderId="0" xfId="0" applyFont="1"/>
    <xf numFmtId="0" fontId="0" fillId="0" borderId="0" xfId="0" applyFont="1"/>
    <xf numFmtId="0" fontId="3" fillId="5" borderId="3" xfId="3" applyFont="1" applyFill="1" applyBorder="1" applyAlignment="1">
      <alignment vertical="center" wrapText="1"/>
    </xf>
    <xf numFmtId="5" fontId="0" fillId="5" borderId="2" xfId="0" applyNumberFormat="1" applyFill="1" applyBorder="1" applyAlignment="1">
      <alignment horizontal="center" vertical="center"/>
    </xf>
    <xf numFmtId="0" fontId="1" fillId="5" borderId="3" xfId="3" applyFont="1" applyFill="1" applyBorder="1" applyAlignment="1">
      <alignment vertical="center" wrapText="1"/>
    </xf>
    <xf numFmtId="0" fontId="7" fillId="3" borderId="2" xfId="3" applyFont="1" applyFill="1" applyBorder="1"/>
    <xf numFmtId="0" fontId="7" fillId="3" borderId="2" xfId="3" applyFont="1" applyFill="1" applyBorder="1" applyAlignment="1">
      <alignment horizontal="center" wrapText="1"/>
    </xf>
    <xf numFmtId="0" fontId="0" fillId="0" borderId="2" xfId="0" applyBorder="1" applyAlignment="1">
      <alignment vertical="center" wrapText="1"/>
    </xf>
    <xf numFmtId="0" fontId="2" fillId="6" borderId="3" xfId="3" applyFont="1" applyFill="1" applyBorder="1" applyAlignment="1">
      <alignment vertical="center" wrapText="1"/>
    </xf>
    <xf numFmtId="5" fontId="0" fillId="6" borderId="2" xfId="0" applyNumberFormat="1" applyFill="1" applyBorder="1" applyAlignment="1">
      <alignment horizontal="center" vertical="center"/>
    </xf>
    <xf numFmtId="0" fontId="0" fillId="6" borderId="2" xfId="0" applyFill="1" applyBorder="1" applyAlignment="1">
      <alignment vertical="center" wrapText="1"/>
    </xf>
    <xf numFmtId="0" fontId="1" fillId="6" borderId="3" xfId="3" applyFont="1" applyFill="1" applyBorder="1" applyAlignment="1">
      <alignment vertical="center" wrapText="1"/>
    </xf>
    <xf numFmtId="0" fontId="0" fillId="5" borderId="2" xfId="0" applyFill="1" applyBorder="1" applyAlignment="1">
      <alignment vertical="center" wrapText="1"/>
    </xf>
    <xf numFmtId="0" fontId="3" fillId="8" borderId="3" xfId="3" applyFont="1" applyFill="1" applyBorder="1" applyAlignment="1">
      <alignment vertical="center" wrapText="1"/>
    </xf>
    <xf numFmtId="5" fontId="0" fillId="8" borderId="2" xfId="0" applyNumberFormat="1" applyFill="1" applyBorder="1" applyAlignment="1">
      <alignment horizontal="center" vertical="center"/>
    </xf>
    <xf numFmtId="0" fontId="0" fillId="8" borderId="2" xfId="0" applyFill="1" applyBorder="1" applyAlignment="1">
      <alignment vertical="center" wrapText="1"/>
    </xf>
    <xf numFmtId="0" fontId="2" fillId="8" borderId="3" xfId="3" applyFont="1" applyFill="1" applyBorder="1" applyAlignment="1">
      <alignment vertical="center" wrapText="1"/>
    </xf>
    <xf numFmtId="0" fontId="12" fillId="0" borderId="0" xfId="3" applyFont="1"/>
    <xf numFmtId="0" fontId="5" fillId="0" borderId="0" xfId="3"/>
    <xf numFmtId="165" fontId="0" fillId="7" borderId="3" xfId="6" applyNumberFormat="1" applyFont="1" applyFill="1" applyBorder="1"/>
    <xf numFmtId="0" fontId="5" fillId="7" borderId="1" xfId="3" applyFill="1" applyBorder="1"/>
    <xf numFmtId="165" fontId="0" fillId="7" borderId="0" xfId="6" applyNumberFormat="1" applyFont="1" applyFill="1"/>
    <xf numFmtId="0" fontId="5" fillId="7" borderId="0" xfId="3" applyFill="1"/>
    <xf numFmtId="0" fontId="12" fillId="9" borderId="2" xfId="3" applyFont="1" applyFill="1" applyBorder="1" applyAlignment="1">
      <alignment wrapText="1"/>
    </xf>
    <xf numFmtId="0" fontId="5" fillId="0" borderId="2" xfId="3" applyBorder="1"/>
    <xf numFmtId="9" fontId="5" fillId="0" borderId="2" xfId="3" applyNumberFormat="1" applyBorder="1"/>
    <xf numFmtId="0" fontId="5" fillId="0" borderId="2" xfId="3" applyFill="1" applyBorder="1"/>
    <xf numFmtId="9" fontId="5" fillId="0" borderId="2" xfId="4" applyBorder="1"/>
    <xf numFmtId="9" fontId="5" fillId="2" borderId="2" xfId="3" applyNumberFormat="1" applyFill="1" applyBorder="1"/>
    <xf numFmtId="9" fontId="5" fillId="0" borderId="0" xfId="3" applyNumberFormat="1"/>
    <xf numFmtId="164" fontId="5" fillId="0" borderId="0" xfId="2" applyNumberFormat="1"/>
    <xf numFmtId="0" fontId="12" fillId="4" borderId="2" xfId="3" applyFont="1" applyFill="1" applyBorder="1"/>
    <xf numFmtId="165" fontId="12" fillId="4" borderId="2" xfId="6" applyNumberFormat="1" applyFont="1" applyFill="1" applyBorder="1"/>
    <xf numFmtId="0" fontId="12" fillId="4" borderId="0" xfId="3" applyFont="1" applyFill="1" applyBorder="1"/>
    <xf numFmtId="165" fontId="12" fillId="4" borderId="0" xfId="6" applyNumberFormat="1" applyFont="1" applyFill="1" applyBorder="1"/>
    <xf numFmtId="164" fontId="12" fillId="4" borderId="0" xfId="3" applyNumberFormat="1" applyFont="1" applyFill="1"/>
    <xf numFmtId="9" fontId="5" fillId="0" borderId="0" xfId="3" applyNumberFormat="1" applyFill="1"/>
    <xf numFmtId="164" fontId="5" fillId="0" borderId="0" xfId="3" applyNumberFormat="1"/>
    <xf numFmtId="43" fontId="12" fillId="4" borderId="2" xfId="6" applyNumberFormat="1" applyFont="1" applyFill="1" applyBorder="1"/>
    <xf numFmtId="0" fontId="15" fillId="0" borderId="0" xfId="0" applyFont="1"/>
    <xf numFmtId="0" fontId="17" fillId="0" borderId="0" xfId="0" applyFont="1" applyAlignment="1">
      <alignment wrapText="1"/>
    </xf>
    <xf numFmtId="0" fontId="19" fillId="0" borderId="0" xfId="0" applyFont="1" applyAlignment="1">
      <alignment wrapText="1"/>
    </xf>
    <xf numFmtId="0" fontId="0" fillId="0" borderId="0" xfId="0" applyFill="1"/>
    <xf numFmtId="164" fontId="0" fillId="0" borderId="0" xfId="1" applyNumberFormat="1" applyFont="1" applyFill="1" applyAlignment="1">
      <alignment wrapText="1"/>
    </xf>
    <xf numFmtId="0" fontId="17" fillId="0" borderId="0" xfId="0" applyFont="1"/>
    <xf numFmtId="164" fontId="16" fillId="0" borderId="0" xfId="1" applyNumberFormat="1" applyFont="1" applyAlignment="1">
      <alignment wrapText="1"/>
    </xf>
    <xf numFmtId="0" fontId="6" fillId="10" borderId="0" xfId="0" applyFont="1" applyFill="1"/>
    <xf numFmtId="0" fontId="0" fillId="10" borderId="0" xfId="0" applyFill="1"/>
    <xf numFmtId="0" fontId="22" fillId="3" borderId="0" xfId="0" applyFont="1" applyFill="1"/>
    <xf numFmtId="0" fontId="16" fillId="3" borderId="0" xfId="0" applyFont="1" applyFill="1"/>
    <xf numFmtId="0" fontId="21" fillId="3" borderId="0" xfId="0" applyFont="1" applyFill="1"/>
    <xf numFmtId="0" fontId="0" fillId="3" borderId="0" xfId="0" applyFill="1"/>
    <xf numFmtId="0" fontId="5" fillId="6" borderId="0" xfId="3" applyFill="1"/>
    <xf numFmtId="164" fontId="0" fillId="6" borderId="0" xfId="2" applyNumberFormat="1" applyFont="1" applyFill="1"/>
    <xf numFmtId="0" fontId="5" fillId="6" borderId="0" xfId="3" applyFont="1" applyFill="1" applyAlignment="1">
      <alignment horizontal="right"/>
    </xf>
    <xf numFmtId="9" fontId="0" fillId="0" borderId="6" xfId="0" applyNumberFormat="1" applyBorder="1"/>
    <xf numFmtId="0" fontId="0" fillId="0" borderId="0" xfId="0" applyBorder="1"/>
    <xf numFmtId="1" fontId="0" fillId="0" borderId="0" xfId="0" applyNumberFormat="1" applyBorder="1"/>
    <xf numFmtId="1" fontId="0" fillId="0" borderId="9" xfId="0" applyNumberFormat="1" applyBorder="1"/>
    <xf numFmtId="166" fontId="0" fillId="0" borderId="9" xfId="0" applyNumberFormat="1" applyBorder="1"/>
    <xf numFmtId="9" fontId="0" fillId="0" borderId="10" xfId="0" applyNumberFormat="1" applyBorder="1"/>
    <xf numFmtId="166" fontId="0" fillId="0" borderId="12" xfId="0" applyNumberFormat="1" applyBorder="1"/>
    <xf numFmtId="0" fontId="0" fillId="0" borderId="2" xfId="0" applyBorder="1" applyAlignment="1">
      <alignment horizontal="center"/>
    </xf>
    <xf numFmtId="0" fontId="0" fillId="11" borderId="2" xfId="0" applyFill="1" applyBorder="1" applyAlignment="1">
      <alignment horizontal="center"/>
    </xf>
    <xf numFmtId="0" fontId="0" fillId="12" borderId="2" xfId="0" applyFill="1" applyBorder="1" applyAlignment="1">
      <alignment horizontal="center"/>
    </xf>
    <xf numFmtId="9" fontId="0" fillId="0" borderId="2" xfId="4" applyFont="1" applyBorder="1" applyAlignment="1">
      <alignment horizontal="center"/>
    </xf>
    <xf numFmtId="0" fontId="0" fillId="0" borderId="11" xfId="0" applyBorder="1"/>
    <xf numFmtId="1" fontId="0" fillId="0" borderId="11" xfId="0" applyNumberFormat="1" applyBorder="1"/>
    <xf numFmtId="0" fontId="0" fillId="0" borderId="2" xfId="0" applyBorder="1" applyAlignment="1">
      <alignment horizontal="left"/>
    </xf>
    <xf numFmtId="0" fontId="6" fillId="10" borderId="5" xfId="0" applyFont="1" applyFill="1" applyBorder="1" applyAlignment="1">
      <alignment wrapText="1"/>
    </xf>
    <xf numFmtId="0" fontId="6" fillId="10" borderId="7" xfId="0" applyFont="1" applyFill="1" applyBorder="1" applyAlignment="1">
      <alignment wrapText="1"/>
    </xf>
    <xf numFmtId="0" fontId="6" fillId="10" borderId="8" xfId="0" applyFont="1" applyFill="1" applyBorder="1" applyAlignment="1">
      <alignment wrapText="1"/>
    </xf>
    <xf numFmtId="0" fontId="30" fillId="0" borderId="0" xfId="0" applyFont="1"/>
    <xf numFmtId="0" fontId="0" fillId="0" borderId="0" xfId="0" applyAlignment="1"/>
    <xf numFmtId="0" fontId="21" fillId="0" borderId="0" xfId="0" applyFont="1" applyFill="1"/>
    <xf numFmtId="0" fontId="7" fillId="0" borderId="2" xfId="3" applyFont="1" applyBorder="1" applyAlignment="1">
      <alignment vertical="center" wrapText="1"/>
    </xf>
    <xf numFmtId="5" fontId="6" fillId="0" borderId="2" xfId="0" applyNumberFormat="1" applyFont="1" applyBorder="1" applyAlignment="1">
      <alignment horizontal="center" vertical="center"/>
    </xf>
    <xf numFmtId="9" fontId="0" fillId="0" borderId="2" xfId="0" applyNumberFormat="1" applyBorder="1" applyAlignment="1">
      <alignment horizontal="center" vertical="center"/>
    </xf>
    <xf numFmtId="5" fontId="0" fillId="0" borderId="2" xfId="0" applyNumberFormat="1" applyBorder="1" applyAlignment="1">
      <alignment horizontal="center"/>
    </xf>
    <xf numFmtId="0" fontId="0" fillId="0" borderId="2" xfId="0" applyBorder="1" applyAlignment="1">
      <alignment horizontal="right"/>
    </xf>
    <xf numFmtId="0" fontId="0" fillId="0" borderId="2" xfId="0" applyBorder="1" applyAlignment="1">
      <alignment horizontal="left" vertical="center"/>
    </xf>
    <xf numFmtId="0" fontId="0" fillId="0" borderId="2" xfId="0" applyBorder="1"/>
    <xf numFmtId="0" fontId="16" fillId="0" borderId="0" xfId="0" applyFont="1" applyFill="1"/>
    <xf numFmtId="0" fontId="6" fillId="10" borderId="0" xfId="0" applyFont="1" applyFill="1" applyAlignment="1">
      <alignment wrapText="1"/>
    </xf>
    <xf numFmtId="167" fontId="15" fillId="0" borderId="0" xfId="0" applyNumberFormat="1" applyFont="1" applyAlignment="1">
      <alignment horizontal="left"/>
    </xf>
    <xf numFmtId="0" fontId="0" fillId="0" borderId="2" xfId="0" applyBorder="1" applyAlignment="1">
      <alignment vertical="center"/>
    </xf>
    <xf numFmtId="0" fontId="0" fillId="0" borderId="2" xfId="0" applyBorder="1" applyAlignment="1">
      <alignment wrapText="1"/>
    </xf>
    <xf numFmtId="0" fontId="15" fillId="0" borderId="0" xfId="0" applyFont="1" applyFill="1"/>
    <xf numFmtId="0" fontId="0" fillId="10" borderId="2" xfId="0" applyFill="1" applyBorder="1"/>
    <xf numFmtId="168" fontId="0" fillId="0" borderId="0" xfId="7" applyNumberFormat="1" applyFont="1" applyAlignment="1">
      <alignment horizontal="center"/>
    </xf>
    <xf numFmtId="0" fontId="8" fillId="0" borderId="2" xfId="0" applyFont="1" applyBorder="1" applyAlignment="1">
      <alignment wrapText="1"/>
    </xf>
    <xf numFmtId="0" fontId="6" fillId="0" borderId="0" xfId="0" applyFont="1"/>
    <xf numFmtId="164" fontId="25" fillId="13" borderId="0" xfId="1" applyNumberFormat="1" applyFont="1" applyFill="1"/>
    <xf numFmtId="0" fontId="6" fillId="14" borderId="13" xfId="0" applyFont="1" applyFill="1" applyBorder="1" applyAlignment="1">
      <alignment wrapText="1"/>
    </xf>
    <xf numFmtId="0" fontId="6" fillId="14" borderId="14" xfId="0" applyFont="1" applyFill="1" applyBorder="1" applyAlignment="1">
      <alignment wrapText="1"/>
    </xf>
    <xf numFmtId="0" fontId="6" fillId="14" borderId="15" xfId="0" applyFont="1" applyFill="1" applyBorder="1" applyAlignment="1">
      <alignment wrapText="1"/>
    </xf>
    <xf numFmtId="0" fontId="6" fillId="14" borderId="16" xfId="0" applyFont="1" applyFill="1" applyBorder="1" applyAlignment="1">
      <alignment wrapText="1"/>
    </xf>
    <xf numFmtId="0" fontId="0" fillId="0" borderId="17" xfId="0" applyBorder="1"/>
    <xf numFmtId="169" fontId="25" fillId="0" borderId="0" xfId="5" applyNumberFormat="1" applyFont="1" applyBorder="1"/>
    <xf numFmtId="164" fontId="0" fillId="0" borderId="0" xfId="0" applyNumberFormat="1" applyBorder="1"/>
    <xf numFmtId="164" fontId="0" fillId="15" borderId="0" xfId="0" applyNumberFormat="1" applyFill="1" applyBorder="1"/>
    <xf numFmtId="164" fontId="0" fillId="0" borderId="18" xfId="0" applyNumberFormat="1" applyBorder="1"/>
    <xf numFmtId="164" fontId="0" fillId="2" borderId="0" xfId="0" applyNumberFormat="1" applyFill="1" applyBorder="1"/>
    <xf numFmtId="164" fontId="0" fillId="0" borderId="0" xfId="0" applyNumberFormat="1" applyFill="1" applyBorder="1"/>
    <xf numFmtId="0" fontId="0" fillId="0" borderId="18" xfId="0" applyBorder="1"/>
    <xf numFmtId="0" fontId="6" fillId="0" borderId="19" xfId="0" applyFont="1" applyBorder="1"/>
    <xf numFmtId="169" fontId="6" fillId="0" borderId="20" xfId="0" applyNumberFormat="1" applyFont="1" applyBorder="1"/>
    <xf numFmtId="164" fontId="6" fillId="0" borderId="20" xfId="0" applyNumberFormat="1" applyFont="1" applyBorder="1"/>
    <xf numFmtId="164" fontId="6" fillId="0" borderId="21" xfId="0" applyNumberFormat="1" applyFont="1" applyBorder="1"/>
    <xf numFmtId="0" fontId="6" fillId="0" borderId="22" xfId="0" applyFont="1" applyFill="1" applyBorder="1" applyAlignment="1">
      <alignment wrapText="1"/>
    </xf>
    <xf numFmtId="0" fontId="6" fillId="0" borderId="0" xfId="0" applyFont="1" applyFill="1" applyBorder="1" applyAlignment="1">
      <alignment wrapText="1"/>
    </xf>
    <xf numFmtId="5" fontId="0" fillId="0" borderId="2" xfId="0" applyNumberFormat="1" applyBorder="1"/>
    <xf numFmtId="0" fontId="1" fillId="3" borderId="2" xfId="3" applyFont="1" applyFill="1" applyBorder="1" applyAlignment="1">
      <alignment horizontal="center" wrapText="1"/>
    </xf>
    <xf numFmtId="0" fontId="0" fillId="6" borderId="0" xfId="0" applyFill="1" applyBorder="1" applyAlignment="1">
      <alignment horizontal="center" wrapText="1"/>
    </xf>
    <xf numFmtId="0" fontId="0" fillId="0" borderId="0" xfId="0" applyBorder="1" applyAlignment="1">
      <alignment wrapText="1"/>
    </xf>
    <xf numFmtId="0" fontId="7" fillId="3" borderId="1" xfId="3" applyFont="1" applyFill="1" applyBorder="1" applyAlignment="1">
      <alignment horizontal="center" wrapText="1"/>
    </xf>
    <xf numFmtId="5" fontId="0" fillId="8" borderId="1" xfId="0" applyNumberFormat="1" applyFill="1" applyBorder="1" applyAlignment="1">
      <alignment horizontal="center" vertical="center"/>
    </xf>
    <xf numFmtId="5" fontId="0" fillId="6" borderId="1" xfId="0" applyNumberFormat="1" applyFill="1" applyBorder="1" applyAlignment="1">
      <alignment horizontal="center" vertical="center"/>
    </xf>
    <xf numFmtId="5" fontId="0" fillId="5" borderId="1" xfId="0" applyNumberFormat="1" applyFill="1" applyBorder="1" applyAlignment="1">
      <alignment horizontal="center" vertical="center"/>
    </xf>
    <xf numFmtId="5" fontId="6" fillId="0" borderId="1" xfId="0" applyNumberFormat="1" applyFont="1" applyBorder="1" applyAlignment="1">
      <alignment horizontal="center" vertical="center"/>
    </xf>
    <xf numFmtId="0" fontId="7" fillId="3" borderId="23" xfId="3" applyFont="1" applyFill="1" applyBorder="1" applyAlignment="1">
      <alignment horizontal="center" wrapText="1"/>
    </xf>
    <xf numFmtId="5" fontId="0" fillId="8" borderId="23" xfId="0" applyNumberFormat="1" applyFill="1" applyBorder="1" applyAlignment="1">
      <alignment horizontal="center" vertical="center"/>
    </xf>
    <xf numFmtId="5" fontId="0" fillId="6" borderId="23" xfId="0" applyNumberFormat="1" applyFill="1" applyBorder="1" applyAlignment="1">
      <alignment horizontal="center" vertical="center"/>
    </xf>
    <xf numFmtId="5" fontId="0" fillId="5" borderId="23" xfId="0" applyNumberFormat="1" applyFill="1" applyBorder="1" applyAlignment="1">
      <alignment horizontal="center" vertical="center"/>
    </xf>
    <xf numFmtId="5" fontId="6" fillId="0" borderId="23" xfId="0" applyNumberFormat="1" applyFont="1" applyBorder="1" applyAlignment="1">
      <alignment horizontal="center" vertical="center"/>
    </xf>
    <xf numFmtId="0" fontId="7" fillId="3" borderId="24" xfId="3" applyFont="1" applyFill="1" applyBorder="1" applyAlignment="1">
      <alignment horizontal="center" wrapText="1"/>
    </xf>
    <xf numFmtId="5" fontId="0" fillId="8" borderId="24" xfId="0" applyNumberFormat="1" applyFill="1" applyBorder="1" applyAlignment="1">
      <alignment horizontal="center" vertical="center"/>
    </xf>
    <xf numFmtId="5" fontId="0" fillId="6" borderId="24" xfId="0" applyNumberFormat="1" applyFill="1" applyBorder="1" applyAlignment="1">
      <alignment horizontal="center" vertical="center"/>
    </xf>
    <xf numFmtId="5" fontId="0" fillId="5" borderId="24" xfId="0" applyNumberFormat="1" applyFill="1" applyBorder="1" applyAlignment="1">
      <alignment horizontal="center" vertical="center"/>
    </xf>
    <xf numFmtId="5" fontId="6" fillId="0" borderId="24" xfId="0" applyNumberFormat="1" applyFont="1" applyBorder="1" applyAlignment="1">
      <alignment horizontal="center" vertical="center"/>
    </xf>
    <xf numFmtId="0" fontId="1" fillId="0" borderId="2" xfId="3" applyFont="1" applyFill="1" applyBorder="1" applyAlignment="1">
      <alignment vertical="center" wrapText="1"/>
    </xf>
    <xf numFmtId="168" fontId="0" fillId="0" borderId="2" xfId="0" applyNumberFormat="1" applyBorder="1" applyAlignment="1">
      <alignment horizontal="center" vertical="center"/>
    </xf>
    <xf numFmtId="168" fontId="0" fillId="0" borderId="1" xfId="0" applyNumberFormat="1" applyBorder="1" applyAlignment="1">
      <alignment horizontal="center" vertical="center"/>
    </xf>
    <xf numFmtId="0" fontId="0" fillId="0" borderId="24" xfId="0" applyBorder="1"/>
    <xf numFmtId="168" fontId="0" fillId="0" borderId="2" xfId="0" applyNumberFormat="1" applyBorder="1"/>
    <xf numFmtId="164" fontId="5" fillId="0" borderId="0" xfId="1" applyNumberFormat="1" applyFont="1"/>
    <xf numFmtId="0" fontId="8" fillId="16" borderId="0" xfId="0" applyFont="1" applyFill="1"/>
    <xf numFmtId="0" fontId="8" fillId="16" borderId="0" xfId="0" applyFont="1" applyFill="1" applyAlignment="1">
      <alignment wrapText="1"/>
    </xf>
    <xf numFmtId="0" fontId="0" fillId="16" borderId="0" xfId="0" applyFill="1" applyAlignment="1">
      <alignment wrapText="1"/>
    </xf>
    <xf numFmtId="164" fontId="16" fillId="16" borderId="0" xfId="1" applyNumberFormat="1" applyFont="1" applyFill="1" applyAlignment="1">
      <alignment wrapText="1"/>
    </xf>
    <xf numFmtId="0" fontId="17" fillId="16" borderId="0" xfId="0" applyFont="1" applyFill="1" applyAlignment="1">
      <alignment wrapText="1"/>
    </xf>
    <xf numFmtId="0" fontId="23" fillId="16" borderId="0" xfId="0" applyFont="1" applyFill="1"/>
    <xf numFmtId="5" fontId="0" fillId="16" borderId="0" xfId="1" applyNumberFormat="1" applyFont="1" applyFill="1" applyAlignment="1">
      <alignment horizontal="center" vertical="center"/>
    </xf>
    <xf numFmtId="164" fontId="0" fillId="16" borderId="0" xfId="1" applyNumberFormat="1" applyFont="1" applyFill="1" applyAlignment="1">
      <alignment wrapText="1"/>
    </xf>
    <xf numFmtId="165" fontId="0" fillId="16" borderId="0" xfId="7" applyNumberFormat="1" applyFont="1" applyFill="1" applyAlignment="1">
      <alignment wrapText="1"/>
    </xf>
    <xf numFmtId="0" fontId="11" fillId="16" borderId="0" xfId="0" applyFont="1" applyFill="1"/>
    <xf numFmtId="0" fontId="9" fillId="16" borderId="0" xfId="0" applyFont="1" applyFill="1"/>
    <xf numFmtId="164" fontId="17" fillId="16" borderId="0" xfId="1" applyNumberFormat="1" applyFont="1" applyFill="1" applyAlignment="1"/>
    <xf numFmtId="0" fontId="27" fillId="16" borderId="0" xfId="0" applyFont="1" applyFill="1"/>
    <xf numFmtId="5" fontId="28" fillId="16" borderId="0" xfId="1" applyNumberFormat="1" applyFont="1" applyFill="1" applyAlignment="1">
      <alignment horizontal="center" vertical="center"/>
    </xf>
    <xf numFmtId="0" fontId="29" fillId="16" borderId="0" xfId="0" applyFont="1" applyFill="1" applyAlignment="1">
      <alignment wrapText="1"/>
    </xf>
    <xf numFmtId="164" fontId="29" fillId="16" borderId="0" xfId="1" applyNumberFormat="1" applyFont="1" applyFill="1" applyAlignment="1">
      <alignment wrapText="1"/>
    </xf>
    <xf numFmtId="5" fontId="16" fillId="16" borderId="0" xfId="1" applyNumberFormat="1" applyFont="1" applyFill="1" applyAlignment="1">
      <alignment horizontal="center" vertical="center"/>
    </xf>
    <xf numFmtId="0" fontId="24" fillId="16" borderId="0" xfId="0" applyFont="1" applyFill="1"/>
    <xf numFmtId="0" fontId="19" fillId="16" borderId="0" xfId="0" applyFont="1" applyFill="1" applyAlignment="1">
      <alignment wrapText="1"/>
    </xf>
    <xf numFmtId="5" fontId="6" fillId="16" borderId="0" xfId="1" applyNumberFormat="1" applyFont="1" applyFill="1" applyAlignment="1">
      <alignment horizontal="center" vertical="center"/>
    </xf>
    <xf numFmtId="0" fontId="0" fillId="16" borderId="0" xfId="0" applyFont="1" applyFill="1" applyAlignment="1">
      <alignment wrapText="1"/>
    </xf>
    <xf numFmtId="0" fontId="17" fillId="16" borderId="0" xfId="0" applyFont="1" applyFill="1" applyAlignment="1"/>
    <xf numFmtId="0" fontId="17" fillId="16" borderId="0" xfId="0" applyFont="1" applyFill="1"/>
    <xf numFmtId="0" fontId="26" fillId="16" borderId="0" xfId="0" applyFont="1" applyFill="1" applyAlignment="1">
      <alignment wrapText="1"/>
    </xf>
    <xf numFmtId="0" fontId="28" fillId="16" borderId="0" xfId="0" applyFont="1" applyFill="1" applyAlignment="1">
      <alignment wrapText="1"/>
    </xf>
    <xf numFmtId="164" fontId="28" fillId="16" borderId="0" xfId="1" applyNumberFormat="1" applyFont="1" applyFill="1" applyAlignment="1">
      <alignment wrapText="1"/>
    </xf>
    <xf numFmtId="0" fontId="0" fillId="16" borderId="0" xfId="0" applyFill="1"/>
    <xf numFmtId="5" fontId="16" fillId="16" borderId="0" xfId="0" applyNumberFormat="1" applyFont="1" applyFill="1" applyAlignment="1">
      <alignment horizontal="center"/>
    </xf>
    <xf numFmtId="5" fontId="0" fillId="16" borderId="0" xfId="0" applyNumberFormat="1" applyFill="1" applyAlignment="1">
      <alignment horizontal="center"/>
    </xf>
    <xf numFmtId="5" fontId="28" fillId="16" borderId="0" xfId="0" applyNumberFormat="1" applyFont="1" applyFill="1" applyAlignment="1">
      <alignment horizontal="center"/>
    </xf>
    <xf numFmtId="0" fontId="8" fillId="3" borderId="0" xfId="0" applyFont="1" applyFill="1"/>
    <xf numFmtId="0" fontId="17" fillId="3" borderId="0" xfId="0" applyFont="1" applyFill="1"/>
    <xf numFmtId="0" fontId="8" fillId="5" borderId="0" xfId="0" applyFont="1" applyFill="1"/>
    <xf numFmtId="5" fontId="0" fillId="5" borderId="0" xfId="1" applyNumberFormat="1" applyFont="1" applyFill="1" applyAlignment="1">
      <alignment horizontal="center" vertical="center"/>
    </xf>
    <xf numFmtId="0" fontId="0" fillId="5" borderId="0" xfId="0" applyFill="1"/>
    <xf numFmtId="0" fontId="11" fillId="5" borderId="0" xfId="0" applyFont="1" applyFill="1"/>
    <xf numFmtId="0" fontId="17" fillId="5" borderId="0" xfId="0" applyFont="1" applyFill="1"/>
    <xf numFmtId="0" fontId="9" fillId="5" borderId="0" xfId="0" applyFont="1" applyFill="1"/>
    <xf numFmtId="5" fontId="6" fillId="5" borderId="0" xfId="1" applyNumberFormat="1" applyFont="1" applyFill="1" applyAlignment="1">
      <alignment horizontal="center" vertical="center"/>
    </xf>
    <xf numFmtId="0" fontId="8" fillId="6" borderId="0" xfId="0" applyFont="1" applyFill="1"/>
    <xf numFmtId="5" fontId="0" fillId="6" borderId="0" xfId="1" applyNumberFormat="1" applyFont="1" applyFill="1" applyAlignment="1">
      <alignment horizontal="center" vertical="center"/>
    </xf>
    <xf numFmtId="0" fontId="0" fillId="6" borderId="0" xfId="0" applyFill="1"/>
    <xf numFmtId="0" fontId="11" fillId="6" borderId="0" xfId="0" applyFont="1" applyFill="1"/>
    <xf numFmtId="0" fontId="17" fillId="6" borderId="0" xfId="0" applyFont="1" applyFill="1"/>
    <xf numFmtId="0" fontId="9" fillId="6" borderId="0" xfId="0" applyFont="1" applyFill="1"/>
    <xf numFmtId="0" fontId="17" fillId="6" borderId="0" xfId="0" applyFont="1" applyFill="1" applyAlignment="1"/>
    <xf numFmtId="0" fontId="27" fillId="6" borderId="0" xfId="0" applyFont="1" applyFill="1"/>
    <xf numFmtId="5" fontId="28" fillId="6" borderId="0" xfId="1" applyNumberFormat="1" applyFont="1" applyFill="1" applyAlignment="1">
      <alignment horizontal="center" vertical="center"/>
    </xf>
    <xf numFmtId="0" fontId="29" fillId="6" borderId="0" xfId="0" applyFont="1" applyFill="1"/>
    <xf numFmtId="5" fontId="6" fillId="6" borderId="0" xfId="1" applyNumberFormat="1" applyFont="1" applyFill="1" applyAlignment="1">
      <alignment horizontal="center" vertical="center"/>
    </xf>
    <xf numFmtId="5" fontId="0" fillId="6" borderId="0" xfId="0" applyNumberFormat="1" applyFill="1" applyAlignment="1">
      <alignment horizontal="center"/>
    </xf>
    <xf numFmtId="0" fontId="18" fillId="6" borderId="0" xfId="0" applyFont="1" applyFill="1"/>
    <xf numFmtId="0" fontId="21" fillId="6" borderId="0" xfId="0" applyFont="1" applyFill="1"/>
    <xf numFmtId="0" fontId="19" fillId="5" borderId="0" xfId="0" applyFont="1" applyFill="1"/>
    <xf numFmtId="0" fontId="0" fillId="5" borderId="0" xfId="0" applyFont="1" applyFill="1"/>
    <xf numFmtId="0" fontId="0" fillId="5" borderId="0" xfId="0" quotePrefix="1" applyFill="1"/>
    <xf numFmtId="5" fontId="6" fillId="3" borderId="0" xfId="0" applyNumberFormat="1" applyFont="1" applyFill="1" applyAlignment="1">
      <alignment horizontal="center"/>
    </xf>
    <xf numFmtId="0" fontId="0" fillId="3" borderId="0" xfId="0" applyFont="1" applyFill="1"/>
    <xf numFmtId="0" fontId="5" fillId="5" borderId="2" xfId="0" applyFont="1" applyFill="1" applyBorder="1" applyAlignment="1">
      <alignment horizontal="right"/>
    </xf>
    <xf numFmtId="5" fontId="0" fillId="5" borderId="2" xfId="0" applyNumberFormat="1" applyFill="1" applyBorder="1"/>
    <xf numFmtId="0" fontId="5" fillId="6" borderId="2" xfId="0" applyFont="1" applyFill="1" applyBorder="1" applyAlignment="1">
      <alignment horizontal="right"/>
    </xf>
    <xf numFmtId="5" fontId="0" fillId="6" borderId="2" xfId="0" applyNumberFormat="1" applyFill="1" applyBorder="1"/>
    <xf numFmtId="0" fontId="6" fillId="0" borderId="2" xfId="0" applyFont="1" applyBorder="1" applyAlignment="1">
      <alignment horizontal="right"/>
    </xf>
    <xf numFmtId="0" fontId="6" fillId="3" borderId="2" xfId="0" applyFont="1" applyFill="1" applyBorder="1" applyAlignment="1">
      <alignment horizontal="right"/>
    </xf>
    <xf numFmtId="5" fontId="6" fillId="0" borderId="2" xfId="0" applyNumberFormat="1" applyFont="1" applyBorder="1"/>
    <xf numFmtId="0" fontId="0" fillId="5" borderId="2" xfId="0" applyFill="1" applyBorder="1" applyAlignment="1">
      <alignment horizontal="left" vertical="center" wrapText="1"/>
    </xf>
    <xf numFmtId="0" fontId="0" fillId="8" borderId="2" xfId="0" applyFill="1" applyBorder="1" applyAlignment="1">
      <alignment horizontal="left" vertical="center" wrapText="1"/>
    </xf>
    <xf numFmtId="0" fontId="0" fillId="6" borderId="2" xfId="0" applyFill="1" applyBorder="1" applyAlignment="1">
      <alignment horizontal="left" vertical="center" wrapText="1"/>
    </xf>
    <xf numFmtId="0" fontId="5" fillId="8" borderId="2" xfId="0" applyFont="1" applyFill="1" applyBorder="1" applyAlignment="1">
      <alignment horizontal="right"/>
    </xf>
    <xf numFmtId="5" fontId="0" fillId="8" borderId="2" xfId="0" applyNumberFormat="1" applyFill="1" applyBorder="1"/>
    <xf numFmtId="0" fontId="11" fillId="8" borderId="3" xfId="3" applyFont="1" applyFill="1" applyBorder="1" applyAlignment="1">
      <alignment vertical="center" wrapText="1"/>
    </xf>
    <xf numFmtId="0" fontId="11" fillId="6" borderId="3" xfId="3" applyFont="1" applyFill="1" applyBorder="1" applyAlignment="1">
      <alignment vertical="center" wrapText="1"/>
    </xf>
    <xf numFmtId="0" fontId="11" fillId="5" borderId="3" xfId="3" applyFont="1" applyFill="1" applyBorder="1" applyAlignment="1">
      <alignment vertical="center" wrapText="1"/>
    </xf>
    <xf numFmtId="0" fontId="28" fillId="16" borderId="0" xfId="0" applyFont="1" applyFill="1"/>
    <xf numFmtId="0" fontId="31" fillId="16" borderId="0" xfId="0" applyFont="1" applyFill="1"/>
    <xf numFmtId="5" fontId="0" fillId="17" borderId="2" xfId="0" applyNumberFormat="1" applyFill="1" applyBorder="1" applyAlignment="1">
      <alignment horizontal="center" vertical="center"/>
    </xf>
    <xf numFmtId="0" fontId="7" fillId="3" borderId="0" xfId="3" applyFont="1" applyFill="1" applyBorder="1" applyAlignment="1">
      <alignment horizontal="center" wrapText="1"/>
    </xf>
    <xf numFmtId="5" fontId="0" fillId="8" borderId="25" xfId="0" applyNumberFormat="1" applyFill="1" applyBorder="1" applyAlignment="1">
      <alignment horizontal="center" vertical="center"/>
    </xf>
    <xf numFmtId="5" fontId="0" fillId="6" borderId="25" xfId="0" applyNumberFormat="1" applyFill="1" applyBorder="1" applyAlignment="1">
      <alignment horizontal="center" vertical="center"/>
    </xf>
    <xf numFmtId="5" fontId="0" fillId="4" borderId="23" xfId="0" applyNumberFormat="1" applyFill="1" applyBorder="1" applyAlignment="1">
      <alignment horizontal="center" vertical="center"/>
    </xf>
    <xf numFmtId="5" fontId="0" fillId="4" borderId="25" xfId="0" applyNumberFormat="1" applyFill="1" applyBorder="1" applyAlignment="1">
      <alignment horizontal="center" vertical="center"/>
    </xf>
    <xf numFmtId="5" fontId="6" fillId="0" borderId="0" xfId="0" applyNumberFormat="1" applyFont="1" applyBorder="1" applyAlignment="1">
      <alignment horizontal="center" vertical="center"/>
    </xf>
    <xf numFmtId="0" fontId="0" fillId="0" borderId="2" xfId="0" applyFill="1" applyBorder="1" applyAlignment="1">
      <alignment vertical="center"/>
    </xf>
    <xf numFmtId="0" fontId="0" fillId="0" borderId="2" xfId="0" applyFill="1" applyBorder="1" applyAlignment="1">
      <alignment vertical="center" wrapText="1"/>
    </xf>
    <xf numFmtId="0" fontId="7" fillId="3" borderId="26" xfId="3" applyFont="1" applyFill="1" applyBorder="1" applyAlignment="1">
      <alignment horizontal="center" wrapText="1"/>
    </xf>
    <xf numFmtId="5" fontId="6" fillId="0" borderId="23" xfId="0" applyNumberFormat="1" applyFont="1" applyFill="1" applyBorder="1" applyAlignment="1">
      <alignment horizontal="center" vertical="center"/>
    </xf>
    <xf numFmtId="5" fontId="6" fillId="0" borderId="25" xfId="0" applyNumberFormat="1" applyFont="1" applyFill="1" applyBorder="1" applyAlignment="1">
      <alignment horizontal="center" vertical="center"/>
    </xf>
    <xf numFmtId="0" fontId="32" fillId="0" borderId="2" xfId="0" applyFont="1" applyBorder="1" applyAlignment="1">
      <alignment horizontal="left" wrapText="1"/>
    </xf>
    <xf numFmtId="0" fontId="32" fillId="0" borderId="2" xfId="0" applyFont="1" applyBorder="1" applyAlignment="1">
      <alignment horizontal="center" wrapText="1"/>
    </xf>
    <xf numFmtId="0" fontId="0" fillId="0" borderId="17" xfId="0" applyFill="1" applyBorder="1"/>
    <xf numFmtId="0" fontId="0" fillId="0" borderId="0" xfId="0" applyFill="1" applyAlignment="1">
      <alignment horizontal="left" vertical="center" wrapText="1"/>
    </xf>
    <xf numFmtId="0" fontId="0" fillId="0" borderId="0" xfId="0" applyFill="1" applyAlignment="1">
      <alignment wrapText="1"/>
    </xf>
    <xf numFmtId="0" fontId="19" fillId="0" borderId="0" xfId="0" applyFont="1" applyFill="1" applyAlignment="1">
      <alignment wrapText="1"/>
    </xf>
    <xf numFmtId="0" fontId="0" fillId="18" borderId="0" xfId="0" applyFill="1" applyAlignment="1">
      <alignment horizontal="left" vertical="center" wrapText="1"/>
    </xf>
    <xf numFmtId="0" fontId="0" fillId="18" borderId="0" xfId="0" applyFill="1"/>
    <xf numFmtId="0" fontId="0" fillId="18" borderId="0" xfId="0" applyFill="1" applyAlignment="1">
      <alignment wrapText="1"/>
    </xf>
    <xf numFmtId="0" fontId="8" fillId="18" borderId="2" xfId="0" applyFont="1" applyFill="1" applyBorder="1" applyAlignment="1">
      <alignment wrapText="1"/>
    </xf>
    <xf numFmtId="0" fontId="23" fillId="15" borderId="0" xfId="0" applyFont="1" applyFill="1"/>
    <xf numFmtId="0" fontId="9" fillId="15" borderId="0" xfId="0" applyFont="1" applyFill="1"/>
    <xf numFmtId="0" fontId="8" fillId="0" borderId="2" xfId="0" applyFont="1" applyFill="1" applyBorder="1"/>
    <xf numFmtId="0" fontId="23" fillId="15" borderId="2" xfId="0" applyFont="1" applyFill="1" applyBorder="1"/>
    <xf numFmtId="0" fontId="9" fillId="15" borderId="2" xfId="0" applyFont="1" applyFill="1" applyBorder="1"/>
    <xf numFmtId="0" fontId="23" fillId="0" borderId="2" xfId="0" applyFont="1" applyFill="1" applyBorder="1"/>
    <xf numFmtId="0" fontId="9" fillId="0" borderId="2" xfId="0" applyFont="1" applyFill="1" applyBorder="1"/>
    <xf numFmtId="0" fontId="27" fillId="0" borderId="2" xfId="0" applyFont="1" applyFill="1" applyBorder="1"/>
    <xf numFmtId="0" fontId="0" fillId="0" borderId="2" xfId="0" applyFill="1" applyBorder="1" applyAlignment="1">
      <alignment wrapText="1"/>
    </xf>
    <xf numFmtId="0" fontId="8" fillId="0" borderId="2" xfId="0" applyFont="1" applyFill="1" applyBorder="1" applyAlignment="1">
      <alignment wrapText="1"/>
    </xf>
    <xf numFmtId="5" fontId="0" fillId="0" borderId="2" xfId="1" applyNumberFormat="1" applyFont="1" applyFill="1" applyBorder="1" applyAlignment="1">
      <alignment horizontal="center" vertical="center"/>
    </xf>
    <xf numFmtId="5" fontId="16" fillId="0" borderId="2" xfId="1" applyNumberFormat="1" applyFont="1" applyFill="1" applyBorder="1" applyAlignment="1">
      <alignment horizontal="center" vertical="center"/>
    </xf>
    <xf numFmtId="5" fontId="28" fillId="0" borderId="2" xfId="1" applyNumberFormat="1" applyFont="1" applyFill="1" applyBorder="1" applyAlignment="1">
      <alignment horizontal="center" vertical="center"/>
    </xf>
    <xf numFmtId="5" fontId="0" fillId="15" borderId="2" xfId="1" applyNumberFormat="1" applyFont="1" applyFill="1" applyBorder="1" applyAlignment="1">
      <alignment horizontal="center" vertical="center"/>
    </xf>
    <xf numFmtId="5" fontId="16" fillId="15" borderId="2" xfId="1" applyNumberFormat="1" applyFont="1" applyFill="1" applyBorder="1" applyAlignment="1">
      <alignment horizontal="center" vertical="center"/>
    </xf>
    <xf numFmtId="0" fontId="8" fillId="15" borderId="2" xfId="0" applyFont="1" applyFill="1" applyBorder="1"/>
    <xf numFmtId="5" fontId="6" fillId="15" borderId="2" xfId="1" applyNumberFormat="1" applyFont="1" applyFill="1" applyBorder="1" applyAlignment="1">
      <alignment horizontal="center" vertical="center"/>
    </xf>
    <xf numFmtId="5" fontId="0" fillId="15" borderId="2" xfId="0" applyNumberFormat="1" applyFill="1" applyBorder="1" applyAlignment="1">
      <alignment horizontal="center"/>
    </xf>
    <xf numFmtId="0" fontId="8" fillId="15" borderId="2" xfId="0" applyFont="1" applyFill="1" applyBorder="1" applyAlignment="1">
      <alignment wrapText="1"/>
    </xf>
    <xf numFmtId="0" fontId="0" fillId="15" borderId="0" xfId="0" applyFill="1" applyAlignment="1">
      <alignment wrapText="1"/>
    </xf>
    <xf numFmtId="0" fontId="0" fillId="15" borderId="0" xfId="0" applyFill="1" applyAlignment="1">
      <alignment horizontal="left" vertical="center" wrapText="1"/>
    </xf>
    <xf numFmtId="0" fontId="32" fillId="3" borderId="2" xfId="0" applyFont="1" applyFill="1" applyBorder="1" applyAlignment="1">
      <alignment horizontal="left" wrapText="1"/>
    </xf>
    <xf numFmtId="0" fontId="32" fillId="3" borderId="2" xfId="0" applyFont="1" applyFill="1" applyBorder="1" applyAlignment="1">
      <alignment horizontal="left" vertical="center" wrapText="1"/>
    </xf>
    <xf numFmtId="0" fontId="7" fillId="3" borderId="2" xfId="3" applyFont="1" applyFill="1" applyBorder="1" applyAlignment="1">
      <alignment horizontal="center" vertical="center" wrapText="1"/>
    </xf>
    <xf numFmtId="0" fontId="7" fillId="3" borderId="3" xfId="3" applyFont="1" applyFill="1" applyBorder="1" applyAlignment="1">
      <alignment horizontal="left" vertical="center" wrapText="1"/>
    </xf>
    <xf numFmtId="0" fontId="7" fillId="3" borderId="4" xfId="3" applyFont="1" applyFill="1" applyBorder="1" applyAlignment="1">
      <alignment horizontal="left" vertical="center" wrapText="1"/>
    </xf>
    <xf numFmtId="0" fontId="7" fillId="3" borderId="1" xfId="3" applyFont="1" applyFill="1" applyBorder="1" applyAlignment="1">
      <alignment horizontal="left" vertical="center" wrapText="1"/>
    </xf>
    <xf numFmtId="0" fontId="0" fillId="6" borderId="3" xfId="0" applyFill="1" applyBorder="1" applyAlignment="1">
      <alignment horizontal="center" wrapText="1"/>
    </xf>
    <xf numFmtId="0" fontId="0" fillId="6" borderId="4" xfId="0" applyFill="1" applyBorder="1" applyAlignment="1">
      <alignment horizontal="center" wrapText="1"/>
    </xf>
    <xf numFmtId="0" fontId="0" fillId="6" borderId="1" xfId="0" applyFill="1" applyBorder="1" applyAlignment="1">
      <alignment horizontal="center" wrapText="1"/>
    </xf>
    <xf numFmtId="0" fontId="6" fillId="3" borderId="2" xfId="0" applyFont="1" applyFill="1" applyBorder="1" applyAlignment="1">
      <alignment horizontal="center"/>
    </xf>
    <xf numFmtId="0" fontId="0" fillId="11" borderId="3" xfId="0" applyFill="1" applyBorder="1" applyAlignment="1">
      <alignment horizontal="center"/>
    </xf>
    <xf numFmtId="0" fontId="0" fillId="11" borderId="4" xfId="0" applyFill="1" applyBorder="1" applyAlignment="1">
      <alignment horizontal="center"/>
    </xf>
    <xf numFmtId="0" fontId="0" fillId="11" borderId="1" xfId="0" applyFill="1" applyBorder="1" applyAlignment="1">
      <alignment horizontal="center"/>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1" xfId="0" applyFont="1" applyFill="1" applyBorder="1" applyAlignment="1">
      <alignment horizontal="center" vertical="center" wrapText="1"/>
    </xf>
  </cellXfs>
  <cellStyles count="8">
    <cellStyle name="Comma" xfId="7" builtinId="3"/>
    <cellStyle name="Comma 2" xfId="6"/>
    <cellStyle name="Currency" xfId="1" builtinId="4"/>
    <cellStyle name="Currency 2" xfId="2"/>
    <cellStyle name="Normal" xfId="0" builtinId="0"/>
    <cellStyle name="Normal 2" xfId="3"/>
    <cellStyle name="Percent 2" xfId="4"/>
    <cellStyle name="Percent 3" xfId="5"/>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2012 RTF Budget (not including Council staff)</a:t>
            </a:r>
          </a:p>
        </c:rich>
      </c:tx>
      <c:layout/>
    </c:title>
    <c:plotArea>
      <c:layout>
        <c:manualLayout>
          <c:layoutTarget val="inner"/>
          <c:xMode val="edge"/>
          <c:yMode val="edge"/>
          <c:x val="0.13762726775935105"/>
          <c:y val="8.3099146931623555E-2"/>
          <c:w val="0.36559129366442022"/>
          <c:h val="0.81368701383404463"/>
        </c:manualLayout>
      </c:layout>
      <c:barChart>
        <c:barDir val="col"/>
        <c:grouping val="stacked"/>
        <c:ser>
          <c:idx val="7"/>
          <c:order val="0"/>
          <c:tx>
            <c:strRef>
              <c:f>'Category (2012)'!$B$13</c:f>
              <c:strCache>
                <c:ptCount val="1"/>
                <c:pt idx="0">
                  <c:v>RTF Member Support &amp; Administration</c:v>
                </c:pt>
              </c:strCache>
            </c:strRef>
          </c:tx>
          <c:spPr>
            <a:solidFill>
              <a:srgbClr val="EEECE1">
                <a:lumMod val="90000"/>
              </a:srgbClr>
            </a:solidFill>
            <a:ln>
              <a:solidFill>
                <a:prstClr val="black"/>
              </a:solidFill>
            </a:ln>
          </c:spPr>
          <c:cat>
            <c:strRef>
              <c:f>('Category (2012)'!$E$20,'Category (2012)'!$I$20)</c:f>
              <c:strCache>
                <c:ptCount val="2"/>
                <c:pt idx="0">
                  <c:v>Proposed Revision</c:v>
                </c:pt>
                <c:pt idx="1">
                  <c:v>Approved November</c:v>
                </c:pt>
              </c:strCache>
            </c:strRef>
          </c:cat>
          <c:val>
            <c:numRef>
              <c:f>('Category (2012)'!$E$13,'Category (2012)'!$I$13)</c:f>
              <c:numCache>
                <c:formatCode>"$"#,##0_);\("$"#,##0\)</c:formatCode>
                <c:ptCount val="2"/>
                <c:pt idx="0">
                  <c:v>174000</c:v>
                </c:pt>
                <c:pt idx="1">
                  <c:v>174000</c:v>
                </c:pt>
              </c:numCache>
            </c:numRef>
          </c:val>
        </c:ser>
        <c:ser>
          <c:idx val="8"/>
          <c:order val="1"/>
          <c:tx>
            <c:strRef>
              <c:f>'Category (2012)'!$B$14</c:f>
              <c:strCache>
                <c:ptCount val="1"/>
                <c:pt idx="0">
                  <c:v>RTF Management</c:v>
                </c:pt>
              </c:strCache>
            </c:strRef>
          </c:tx>
          <c:spPr>
            <a:solidFill>
              <a:srgbClr val="EEECE1">
                <a:lumMod val="90000"/>
              </a:srgbClr>
            </a:solidFill>
            <a:ln>
              <a:solidFill>
                <a:prstClr val="black"/>
              </a:solidFill>
            </a:ln>
          </c:spPr>
          <c:cat>
            <c:strRef>
              <c:f>('Category (2012)'!$E$20,'Category (2012)'!$I$20)</c:f>
              <c:strCache>
                <c:ptCount val="2"/>
                <c:pt idx="0">
                  <c:v>Proposed Revision</c:v>
                </c:pt>
                <c:pt idx="1">
                  <c:v>Approved November</c:v>
                </c:pt>
              </c:strCache>
            </c:strRef>
          </c:cat>
          <c:val>
            <c:numRef>
              <c:f>('Category (2012)'!$E$14,'Category (2012)'!$I$14)</c:f>
              <c:numCache>
                <c:formatCode>"$"#,##0_);\("$"#,##0\)</c:formatCode>
                <c:ptCount val="2"/>
                <c:pt idx="0">
                  <c:v>105000</c:v>
                </c:pt>
                <c:pt idx="1">
                  <c:v>105000</c:v>
                </c:pt>
              </c:numCache>
            </c:numRef>
          </c:val>
        </c:ser>
        <c:ser>
          <c:idx val="3"/>
          <c:order val="2"/>
          <c:tx>
            <c:strRef>
              <c:f>'Category (2012)'!$B$9</c:f>
              <c:strCache>
                <c:ptCount val="1"/>
                <c:pt idx="0">
                  <c:v>Tool Development</c:v>
                </c:pt>
              </c:strCache>
            </c:strRef>
          </c:tx>
          <c:spPr>
            <a:solidFill>
              <a:srgbClr val="EEECE1">
                <a:lumMod val="90000"/>
              </a:srgbClr>
            </a:solidFill>
            <a:ln>
              <a:solidFill>
                <a:prstClr val="black"/>
              </a:solidFill>
            </a:ln>
          </c:spPr>
          <c:cat>
            <c:strRef>
              <c:f>('Category (2012)'!$E$20,'Category (2012)'!$I$20)</c:f>
              <c:strCache>
                <c:ptCount val="2"/>
                <c:pt idx="0">
                  <c:v>Proposed Revision</c:v>
                </c:pt>
                <c:pt idx="1">
                  <c:v>Approved November</c:v>
                </c:pt>
              </c:strCache>
            </c:strRef>
          </c:cat>
          <c:val>
            <c:numRef>
              <c:f>('Category (2012)'!$E$9,'Category (2012)'!$I$9)</c:f>
              <c:numCache>
                <c:formatCode>"$"#,##0_);\("$"#,##0\)</c:formatCode>
                <c:ptCount val="2"/>
                <c:pt idx="0">
                  <c:v>134000</c:v>
                </c:pt>
                <c:pt idx="1">
                  <c:v>134000</c:v>
                </c:pt>
              </c:numCache>
            </c:numRef>
          </c:val>
        </c:ser>
        <c:ser>
          <c:idx val="4"/>
          <c:order val="3"/>
          <c:tx>
            <c:strRef>
              <c:f>'Category (2012)'!$B$10</c:f>
              <c:strCache>
                <c:ptCount val="1"/>
                <c:pt idx="0">
                  <c:v>Research Projects &amp; Data Development</c:v>
                </c:pt>
              </c:strCache>
            </c:strRef>
          </c:tx>
          <c:spPr>
            <a:solidFill>
              <a:srgbClr val="EEECE1">
                <a:lumMod val="90000"/>
              </a:srgbClr>
            </a:solidFill>
            <a:ln>
              <a:solidFill>
                <a:schemeClr val="tx1"/>
              </a:solidFill>
            </a:ln>
          </c:spPr>
          <c:cat>
            <c:strRef>
              <c:f>('Category (2012)'!$E$20,'Category (2012)'!$I$20)</c:f>
              <c:strCache>
                <c:ptCount val="2"/>
                <c:pt idx="0">
                  <c:v>Proposed Revision</c:v>
                </c:pt>
                <c:pt idx="1">
                  <c:v>Approved November</c:v>
                </c:pt>
              </c:strCache>
            </c:strRef>
          </c:cat>
          <c:val>
            <c:numRef>
              <c:f>('Category (2012)'!$E$10,'Category (2012)'!$I$10)</c:f>
              <c:numCache>
                <c:formatCode>"$"#,##0_);\("$"#,##0\)</c:formatCode>
                <c:ptCount val="2"/>
                <c:pt idx="0">
                  <c:v>228000</c:v>
                </c:pt>
                <c:pt idx="1">
                  <c:v>228000</c:v>
                </c:pt>
              </c:numCache>
            </c:numRef>
          </c:val>
        </c:ser>
        <c:ser>
          <c:idx val="5"/>
          <c:order val="4"/>
          <c:tx>
            <c:strRef>
              <c:f>'Category (2012)'!$B$11</c:f>
              <c:strCache>
                <c:ptCount val="1"/>
                <c:pt idx="0">
                  <c:v>Regional Coordination</c:v>
                </c:pt>
              </c:strCache>
            </c:strRef>
          </c:tx>
          <c:spPr>
            <a:solidFill>
              <a:srgbClr val="EEECE1">
                <a:lumMod val="90000"/>
              </a:srgbClr>
            </a:solidFill>
            <a:ln>
              <a:solidFill>
                <a:prstClr val="black"/>
              </a:solidFill>
            </a:ln>
          </c:spPr>
          <c:cat>
            <c:strRef>
              <c:f>('Category (2012)'!$E$20,'Category (2012)'!$I$20)</c:f>
              <c:strCache>
                <c:ptCount val="2"/>
                <c:pt idx="0">
                  <c:v>Proposed Revision</c:v>
                </c:pt>
                <c:pt idx="1">
                  <c:v>Approved November</c:v>
                </c:pt>
              </c:strCache>
            </c:strRef>
          </c:cat>
          <c:val>
            <c:numRef>
              <c:f>('Category (2012)'!$E$11,'Category (2012)'!$I$11)</c:f>
              <c:numCache>
                <c:formatCode>"$"#,##0_);\("$"#,##0\)</c:formatCode>
                <c:ptCount val="2"/>
                <c:pt idx="0">
                  <c:v>58000</c:v>
                </c:pt>
                <c:pt idx="1">
                  <c:v>58000</c:v>
                </c:pt>
              </c:numCache>
            </c:numRef>
          </c:val>
        </c:ser>
        <c:ser>
          <c:idx val="0"/>
          <c:order val="5"/>
          <c:tx>
            <c:strRef>
              <c:f>'Category (2012)'!$B$8</c:f>
              <c:strCache>
                <c:ptCount val="1"/>
                <c:pt idx="0">
                  <c:v>Standardization of Technical Analysis</c:v>
                </c:pt>
              </c:strCache>
            </c:strRef>
          </c:tx>
          <c:spPr>
            <a:solidFill>
              <a:schemeClr val="bg2">
                <a:lumMod val="90000"/>
              </a:schemeClr>
            </a:solidFill>
            <a:ln>
              <a:solidFill>
                <a:schemeClr val="tx1"/>
              </a:solidFill>
            </a:ln>
          </c:spPr>
          <c:cat>
            <c:strRef>
              <c:f>('Category (2012)'!$E$20,'Category (2012)'!$I$20)</c:f>
              <c:strCache>
                <c:ptCount val="2"/>
                <c:pt idx="0">
                  <c:v>Proposed Revision</c:v>
                </c:pt>
                <c:pt idx="1">
                  <c:v>Approved November</c:v>
                </c:pt>
              </c:strCache>
            </c:strRef>
          </c:cat>
          <c:val>
            <c:numRef>
              <c:f>('Category (2012)'!$E$8,'Category (2012)'!$I$8)</c:f>
              <c:numCache>
                <c:formatCode>"$"#,##0_);\("$"#,##0\)</c:formatCode>
                <c:ptCount val="2"/>
                <c:pt idx="0">
                  <c:v>176000</c:v>
                </c:pt>
                <c:pt idx="1">
                  <c:v>176000</c:v>
                </c:pt>
              </c:numCache>
            </c:numRef>
          </c:val>
        </c:ser>
        <c:ser>
          <c:idx val="2"/>
          <c:order val="6"/>
          <c:tx>
            <c:strRef>
              <c:f>'Category (2012)'!$B$6</c:f>
              <c:strCache>
                <c:ptCount val="1"/>
                <c:pt idx="0">
                  <c:v>Existing Measure Review &amp; Updates</c:v>
                </c:pt>
              </c:strCache>
            </c:strRef>
          </c:tx>
          <c:spPr>
            <a:ln>
              <a:solidFill>
                <a:prstClr val="black"/>
              </a:solidFill>
            </a:ln>
          </c:spPr>
          <c:cat>
            <c:strRef>
              <c:f>('Category (2012)'!$E$20,'Category (2012)'!$I$20)</c:f>
              <c:strCache>
                <c:ptCount val="2"/>
                <c:pt idx="0">
                  <c:v>Proposed Revision</c:v>
                </c:pt>
                <c:pt idx="1">
                  <c:v>Approved November</c:v>
                </c:pt>
              </c:strCache>
            </c:strRef>
          </c:cat>
          <c:val>
            <c:numRef>
              <c:f>('Category (2012)'!$E$6,'Category (2012)'!$I$6)</c:f>
              <c:numCache>
                <c:formatCode>"$"#,##0_);\("$"#,##0\)</c:formatCode>
                <c:ptCount val="2"/>
                <c:pt idx="0">
                  <c:v>487000</c:v>
                </c:pt>
                <c:pt idx="1">
                  <c:v>313000</c:v>
                </c:pt>
              </c:numCache>
            </c:numRef>
          </c:val>
        </c:ser>
        <c:ser>
          <c:idx val="1"/>
          <c:order val="7"/>
          <c:tx>
            <c:strRef>
              <c:f>'Category (2012)'!$B$7</c:f>
              <c:strCache>
                <c:ptCount val="1"/>
                <c:pt idx="0">
                  <c:v>New Measure Development &amp; Review of Unsolicited Proposals</c:v>
                </c:pt>
              </c:strCache>
            </c:strRef>
          </c:tx>
          <c:spPr>
            <a:solidFill>
              <a:srgbClr val="FFC000"/>
            </a:solidFill>
            <a:ln>
              <a:solidFill>
                <a:prstClr val="black"/>
              </a:solidFill>
            </a:ln>
          </c:spPr>
          <c:cat>
            <c:strRef>
              <c:f>('Category (2012)'!$E$20,'Category (2012)'!$I$20)</c:f>
              <c:strCache>
                <c:ptCount val="2"/>
                <c:pt idx="0">
                  <c:v>Proposed Revision</c:v>
                </c:pt>
                <c:pt idx="1">
                  <c:v>Approved November</c:v>
                </c:pt>
              </c:strCache>
            </c:strRef>
          </c:cat>
          <c:val>
            <c:numRef>
              <c:f>('Category (2012)'!$E$7,'Category (2012)'!$I$7)</c:f>
              <c:numCache>
                <c:formatCode>"$"#,##0_);\("$"#,##0\)</c:formatCode>
                <c:ptCount val="2"/>
                <c:pt idx="0">
                  <c:v>138000</c:v>
                </c:pt>
                <c:pt idx="1">
                  <c:v>312000</c:v>
                </c:pt>
              </c:numCache>
            </c:numRef>
          </c:val>
        </c:ser>
        <c:gapWidth val="27"/>
        <c:overlap val="100"/>
        <c:axId val="117510528"/>
        <c:axId val="117512064"/>
      </c:barChart>
      <c:catAx>
        <c:axId val="117510528"/>
        <c:scaling>
          <c:orientation val="minMax"/>
        </c:scaling>
        <c:axPos val="b"/>
        <c:numFmt formatCode="General" sourceLinked="1"/>
        <c:tickLblPos val="nextTo"/>
        <c:txPr>
          <a:bodyPr/>
          <a:lstStyle/>
          <a:p>
            <a:pPr>
              <a:defRPr b="1"/>
            </a:pPr>
            <a:endParaRPr lang="en-US"/>
          </a:p>
        </c:txPr>
        <c:crossAx val="117512064"/>
        <c:crosses val="autoZero"/>
        <c:auto val="1"/>
        <c:lblAlgn val="ctr"/>
        <c:lblOffset val="100"/>
      </c:catAx>
      <c:valAx>
        <c:axId val="117512064"/>
        <c:scaling>
          <c:orientation val="minMax"/>
        </c:scaling>
        <c:axPos val="l"/>
        <c:numFmt formatCode="&quot;$&quot;#,##0_);\(&quot;$&quot;#,##0\)" sourceLinked="1"/>
        <c:tickLblPos val="nextTo"/>
        <c:crossAx val="117510528"/>
        <c:crosses val="autoZero"/>
        <c:crossBetween val="between"/>
      </c:valAx>
    </c:plotArea>
    <c:legend>
      <c:legendPos val="r"/>
      <c:layout>
        <c:manualLayout>
          <c:xMode val="edge"/>
          <c:yMode val="edge"/>
          <c:x val="0.51544740891174667"/>
          <c:y val="0.10424939072798553"/>
          <c:w val="0.47611706889802691"/>
          <c:h val="0.84002313394973982"/>
        </c:manualLayout>
      </c:layout>
      <c:txPr>
        <a:bodyPr/>
        <a:lstStyle/>
        <a:p>
          <a:pPr>
            <a:defRPr sz="1800"/>
          </a:pPr>
          <a:endParaRPr lang="en-US"/>
        </a:p>
      </c:txPr>
    </c:legend>
    <c:plotVisOnly val="1"/>
  </c:chart>
  <c:txPr>
    <a:bodyPr/>
    <a:lstStyle/>
    <a:p>
      <a:pPr>
        <a:defRPr sz="1600"/>
      </a:pPr>
      <a:endParaRPr lang="en-US"/>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2012 RTF Budget (not including Council staff)</a:t>
            </a:r>
          </a:p>
        </c:rich>
      </c:tx>
      <c:layout/>
    </c:title>
    <c:plotArea>
      <c:layout>
        <c:manualLayout>
          <c:layoutTarget val="inner"/>
          <c:xMode val="edge"/>
          <c:yMode val="edge"/>
          <c:x val="0.13762726775935105"/>
          <c:y val="8.309914693162361E-2"/>
          <c:w val="0.22531092671469929"/>
          <c:h val="0.81368701383404463"/>
        </c:manualLayout>
      </c:layout>
      <c:barChart>
        <c:barDir val="col"/>
        <c:grouping val="stacked"/>
        <c:ser>
          <c:idx val="3"/>
          <c:order val="0"/>
          <c:tx>
            <c:strRef>
              <c:f>'Category (2012)'!$B$8</c:f>
              <c:strCache>
                <c:ptCount val="1"/>
                <c:pt idx="0">
                  <c:v>Standardization of Technical Analysis</c:v>
                </c:pt>
              </c:strCache>
            </c:strRef>
          </c:tx>
          <c:spPr>
            <a:solidFill>
              <a:srgbClr val="EEECE1">
                <a:lumMod val="90000"/>
              </a:srgbClr>
            </a:solidFill>
            <a:ln>
              <a:solidFill>
                <a:prstClr val="black"/>
              </a:solidFill>
            </a:ln>
          </c:spPr>
          <c:cat>
            <c:strRef>
              <c:f>'Category (2012)'!$C$4:$F$4</c:f>
              <c:strCache>
                <c:ptCount val="1"/>
                <c:pt idx="0">
                  <c:v>Calendar 2012 (Revised January 2012)</c:v>
                </c:pt>
              </c:strCache>
            </c:strRef>
          </c:cat>
          <c:val>
            <c:numRef>
              <c:f>'Category (2012)'!$E$8</c:f>
              <c:numCache>
                <c:formatCode>"$"#,##0_);\("$"#,##0\)</c:formatCode>
                <c:ptCount val="1"/>
                <c:pt idx="0">
                  <c:v>176000</c:v>
                </c:pt>
              </c:numCache>
            </c:numRef>
          </c:val>
        </c:ser>
        <c:ser>
          <c:idx val="4"/>
          <c:order val="1"/>
          <c:tx>
            <c:strRef>
              <c:f>'Category (2012)'!$B$9</c:f>
              <c:strCache>
                <c:ptCount val="1"/>
                <c:pt idx="0">
                  <c:v>Tool Development</c:v>
                </c:pt>
              </c:strCache>
            </c:strRef>
          </c:tx>
          <c:spPr>
            <a:solidFill>
              <a:srgbClr val="EEECE1">
                <a:lumMod val="90000"/>
              </a:srgbClr>
            </a:solidFill>
            <a:ln>
              <a:solidFill>
                <a:schemeClr val="tx1"/>
              </a:solidFill>
            </a:ln>
          </c:spPr>
          <c:cat>
            <c:strRef>
              <c:f>'Category (2012)'!$C$4:$F$4</c:f>
              <c:strCache>
                <c:ptCount val="1"/>
                <c:pt idx="0">
                  <c:v>Calendar 2012 (Revised January 2012)</c:v>
                </c:pt>
              </c:strCache>
            </c:strRef>
          </c:cat>
          <c:val>
            <c:numRef>
              <c:f>'Category (2012)'!$E$9</c:f>
              <c:numCache>
                <c:formatCode>"$"#,##0_);\("$"#,##0\)</c:formatCode>
                <c:ptCount val="1"/>
                <c:pt idx="0">
                  <c:v>134000</c:v>
                </c:pt>
              </c:numCache>
            </c:numRef>
          </c:val>
        </c:ser>
        <c:ser>
          <c:idx val="5"/>
          <c:order val="2"/>
          <c:tx>
            <c:strRef>
              <c:f>'Category (2012)'!$B$10</c:f>
              <c:strCache>
                <c:ptCount val="1"/>
                <c:pt idx="0">
                  <c:v>Research Projects &amp; Data Development</c:v>
                </c:pt>
              </c:strCache>
            </c:strRef>
          </c:tx>
          <c:spPr>
            <a:solidFill>
              <a:srgbClr val="EEECE1">
                <a:lumMod val="90000"/>
              </a:srgbClr>
            </a:solidFill>
            <a:ln>
              <a:solidFill>
                <a:prstClr val="black"/>
              </a:solidFill>
            </a:ln>
          </c:spPr>
          <c:cat>
            <c:strRef>
              <c:f>'Category (2012)'!$C$4:$F$4</c:f>
              <c:strCache>
                <c:ptCount val="1"/>
                <c:pt idx="0">
                  <c:v>Calendar 2012 (Revised January 2012)</c:v>
                </c:pt>
              </c:strCache>
            </c:strRef>
          </c:cat>
          <c:val>
            <c:numRef>
              <c:f>'Category (2012)'!$E$10</c:f>
              <c:numCache>
                <c:formatCode>"$"#,##0_);\("$"#,##0\)</c:formatCode>
                <c:ptCount val="1"/>
                <c:pt idx="0">
                  <c:v>228000</c:v>
                </c:pt>
              </c:numCache>
            </c:numRef>
          </c:val>
        </c:ser>
        <c:ser>
          <c:idx val="0"/>
          <c:order val="3"/>
          <c:tx>
            <c:strRef>
              <c:f>'Category (2012)'!$B$11</c:f>
              <c:strCache>
                <c:ptCount val="1"/>
                <c:pt idx="0">
                  <c:v>Regional Coordination</c:v>
                </c:pt>
              </c:strCache>
            </c:strRef>
          </c:tx>
          <c:spPr>
            <a:solidFill>
              <a:schemeClr val="bg2">
                <a:lumMod val="90000"/>
              </a:schemeClr>
            </a:solidFill>
            <a:ln>
              <a:solidFill>
                <a:schemeClr val="tx1"/>
              </a:solidFill>
            </a:ln>
          </c:spPr>
          <c:cat>
            <c:strRef>
              <c:f>'Category (2012)'!$C$4:$F$4</c:f>
              <c:strCache>
                <c:ptCount val="1"/>
                <c:pt idx="0">
                  <c:v>Calendar 2012 (Revised January 2012)</c:v>
                </c:pt>
              </c:strCache>
            </c:strRef>
          </c:cat>
          <c:val>
            <c:numRef>
              <c:f>'Category (2012)'!$E$11</c:f>
              <c:numCache>
                <c:formatCode>"$"#,##0_);\("$"#,##0\)</c:formatCode>
                <c:ptCount val="1"/>
                <c:pt idx="0">
                  <c:v>58000</c:v>
                </c:pt>
              </c:numCache>
            </c:numRef>
          </c:val>
        </c:ser>
        <c:ser>
          <c:idx val="1"/>
          <c:order val="4"/>
          <c:tx>
            <c:strRef>
              <c:f>'Category (2012)'!$B$13</c:f>
              <c:strCache>
                <c:ptCount val="1"/>
                <c:pt idx="0">
                  <c:v>RTF Member Support &amp; Administration</c:v>
                </c:pt>
              </c:strCache>
            </c:strRef>
          </c:tx>
          <c:spPr>
            <a:solidFill>
              <a:schemeClr val="bg2">
                <a:lumMod val="90000"/>
              </a:schemeClr>
            </a:solidFill>
            <a:ln>
              <a:solidFill>
                <a:prstClr val="black"/>
              </a:solidFill>
            </a:ln>
          </c:spPr>
          <c:cat>
            <c:strRef>
              <c:f>'Category (2012)'!$C$4:$F$4</c:f>
              <c:strCache>
                <c:ptCount val="1"/>
                <c:pt idx="0">
                  <c:v>Calendar 2012 (Revised January 2012)</c:v>
                </c:pt>
              </c:strCache>
            </c:strRef>
          </c:cat>
          <c:val>
            <c:numRef>
              <c:f>'Category (2012)'!$E$13</c:f>
              <c:numCache>
                <c:formatCode>"$"#,##0_);\("$"#,##0\)</c:formatCode>
                <c:ptCount val="1"/>
                <c:pt idx="0">
                  <c:v>174000</c:v>
                </c:pt>
              </c:numCache>
            </c:numRef>
          </c:val>
        </c:ser>
        <c:ser>
          <c:idx val="6"/>
          <c:order val="5"/>
          <c:tx>
            <c:strRef>
              <c:f>'Category (2012)'!$B$14</c:f>
              <c:strCache>
                <c:ptCount val="1"/>
                <c:pt idx="0">
                  <c:v>RTF Management</c:v>
                </c:pt>
              </c:strCache>
            </c:strRef>
          </c:tx>
          <c:spPr>
            <a:solidFill>
              <a:srgbClr val="EEECE1">
                <a:lumMod val="90000"/>
              </a:srgbClr>
            </a:solidFill>
            <a:ln>
              <a:solidFill>
                <a:schemeClr val="tx1"/>
              </a:solidFill>
            </a:ln>
          </c:spPr>
          <c:cat>
            <c:strRef>
              <c:f>'Category (2012)'!$C$4:$F$4</c:f>
              <c:strCache>
                <c:ptCount val="1"/>
                <c:pt idx="0">
                  <c:v>Calendar 2012 (Revised January 2012)</c:v>
                </c:pt>
              </c:strCache>
            </c:strRef>
          </c:cat>
          <c:val>
            <c:numRef>
              <c:f>'Category (2012)'!$E$14</c:f>
              <c:numCache>
                <c:formatCode>"$"#,##0_);\("$"#,##0\)</c:formatCode>
                <c:ptCount val="1"/>
                <c:pt idx="0">
                  <c:v>105000</c:v>
                </c:pt>
              </c:numCache>
            </c:numRef>
          </c:val>
        </c:ser>
        <c:ser>
          <c:idx val="7"/>
          <c:order val="6"/>
          <c:tx>
            <c:strRef>
              <c:f>'Category (2012)'!$B$6</c:f>
              <c:strCache>
                <c:ptCount val="1"/>
                <c:pt idx="0">
                  <c:v>Existing Measure Review &amp; Updates</c:v>
                </c:pt>
              </c:strCache>
            </c:strRef>
          </c:tx>
          <c:spPr>
            <a:solidFill>
              <a:schemeClr val="accent3">
                <a:lumMod val="75000"/>
              </a:schemeClr>
            </a:solidFill>
            <a:ln>
              <a:solidFill>
                <a:prstClr val="black"/>
              </a:solidFill>
            </a:ln>
          </c:spPr>
          <c:cat>
            <c:strRef>
              <c:f>'Category (2012)'!$C$4:$F$4</c:f>
              <c:strCache>
                <c:ptCount val="1"/>
                <c:pt idx="0">
                  <c:v>Calendar 2012 (Revised January 2012)</c:v>
                </c:pt>
              </c:strCache>
            </c:strRef>
          </c:cat>
          <c:val>
            <c:numRef>
              <c:f>'Category (2012)'!$E$6</c:f>
              <c:numCache>
                <c:formatCode>"$"#,##0_);\("$"#,##0\)</c:formatCode>
                <c:ptCount val="1"/>
                <c:pt idx="0">
                  <c:v>487000</c:v>
                </c:pt>
              </c:numCache>
            </c:numRef>
          </c:val>
        </c:ser>
        <c:ser>
          <c:idx val="8"/>
          <c:order val="7"/>
          <c:tx>
            <c:strRef>
              <c:f>'Category (2012)'!$B$7</c:f>
              <c:strCache>
                <c:ptCount val="1"/>
                <c:pt idx="0">
                  <c:v>New Measure Development &amp; Review of Unsolicited Proposals</c:v>
                </c:pt>
              </c:strCache>
            </c:strRef>
          </c:tx>
          <c:spPr>
            <a:solidFill>
              <a:srgbClr val="FFC000"/>
            </a:solidFill>
            <a:ln>
              <a:solidFill>
                <a:prstClr val="black"/>
              </a:solidFill>
            </a:ln>
          </c:spPr>
          <c:cat>
            <c:strRef>
              <c:f>'Category (2012)'!$C$4:$F$4</c:f>
              <c:strCache>
                <c:ptCount val="1"/>
                <c:pt idx="0">
                  <c:v>Calendar 2012 (Revised January 2012)</c:v>
                </c:pt>
              </c:strCache>
            </c:strRef>
          </c:cat>
          <c:val>
            <c:numRef>
              <c:f>'Category (2012)'!$E$7</c:f>
              <c:numCache>
                <c:formatCode>"$"#,##0_);\("$"#,##0\)</c:formatCode>
                <c:ptCount val="1"/>
                <c:pt idx="0">
                  <c:v>138000</c:v>
                </c:pt>
              </c:numCache>
            </c:numRef>
          </c:val>
        </c:ser>
        <c:gapWidth val="82"/>
        <c:overlap val="100"/>
        <c:axId val="46596864"/>
        <c:axId val="46598400"/>
      </c:barChart>
      <c:catAx>
        <c:axId val="46596864"/>
        <c:scaling>
          <c:orientation val="minMax"/>
        </c:scaling>
        <c:axPos val="b"/>
        <c:numFmt formatCode="General" sourceLinked="1"/>
        <c:tickLblPos val="nextTo"/>
        <c:txPr>
          <a:bodyPr/>
          <a:lstStyle/>
          <a:p>
            <a:pPr>
              <a:defRPr b="1"/>
            </a:pPr>
            <a:endParaRPr lang="en-US"/>
          </a:p>
        </c:txPr>
        <c:crossAx val="46598400"/>
        <c:crosses val="autoZero"/>
        <c:auto val="1"/>
        <c:lblAlgn val="ctr"/>
        <c:lblOffset val="100"/>
      </c:catAx>
      <c:valAx>
        <c:axId val="46598400"/>
        <c:scaling>
          <c:orientation val="minMax"/>
        </c:scaling>
        <c:axPos val="l"/>
        <c:numFmt formatCode="&quot;$&quot;#,##0_);\(&quot;$&quot;#,##0\)" sourceLinked="1"/>
        <c:tickLblPos val="nextTo"/>
        <c:crossAx val="46596864"/>
        <c:crosses val="autoZero"/>
        <c:crossBetween val="between"/>
      </c:valAx>
    </c:plotArea>
    <c:legend>
      <c:legendPos val="r"/>
      <c:layout>
        <c:manualLayout>
          <c:xMode val="edge"/>
          <c:yMode val="edge"/>
          <c:x val="0.35917015801161933"/>
          <c:y val="0.10424939072798553"/>
          <c:w val="0.61479406555331195"/>
          <c:h val="0.80078233885632766"/>
        </c:manualLayout>
      </c:layout>
      <c:txPr>
        <a:bodyPr/>
        <a:lstStyle/>
        <a:p>
          <a:pPr>
            <a:defRPr sz="1800"/>
          </a:pPr>
          <a:endParaRPr lang="en-US"/>
        </a:p>
      </c:txPr>
    </c:legend>
    <c:plotVisOnly val="1"/>
  </c:chart>
  <c:txPr>
    <a:bodyPr/>
    <a:lstStyle/>
    <a:p>
      <a:pPr>
        <a:defRPr sz="16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stacked"/>
        <c:ser>
          <c:idx val="0"/>
          <c:order val="0"/>
          <c:tx>
            <c:strRef>
              <c:f>'Category (2012-2014)'!$C$21</c:f>
              <c:strCache>
                <c:ptCount val="1"/>
                <c:pt idx="0">
                  <c:v>Contract</c:v>
                </c:pt>
              </c:strCache>
            </c:strRef>
          </c:tx>
          <c:cat>
            <c:strRef>
              <c:f>'Category (2012-2014)'!$B$22:$B$24</c:f>
              <c:strCache>
                <c:ptCount val="3"/>
                <c:pt idx="0">
                  <c:v>Calendar 2012</c:v>
                </c:pt>
                <c:pt idx="1">
                  <c:v>Calendar 2013</c:v>
                </c:pt>
                <c:pt idx="2">
                  <c:v>Calendar 2014</c:v>
                </c:pt>
              </c:strCache>
            </c:strRef>
          </c:cat>
          <c:val>
            <c:numRef>
              <c:f>'Category (2012-2014)'!$C$22:$C$24</c:f>
              <c:numCache>
                <c:formatCode>"$"#,##0_);\("$"#,##0\)</c:formatCode>
                <c:ptCount val="3"/>
                <c:pt idx="0">
                  <c:v>1080000</c:v>
                </c:pt>
                <c:pt idx="1">
                  <c:v>972500</c:v>
                </c:pt>
                <c:pt idx="2">
                  <c:v>972500</c:v>
                </c:pt>
              </c:numCache>
            </c:numRef>
          </c:val>
        </c:ser>
        <c:ser>
          <c:idx val="1"/>
          <c:order val="1"/>
          <c:tx>
            <c:strRef>
              <c:f>'Category (2012-2014)'!$D$21</c:f>
              <c:strCache>
                <c:ptCount val="1"/>
                <c:pt idx="0">
                  <c:v>RTF Staff</c:v>
                </c:pt>
              </c:strCache>
            </c:strRef>
          </c:tx>
          <c:cat>
            <c:strRef>
              <c:f>'Category (2012-2014)'!$B$22:$B$24</c:f>
              <c:strCache>
                <c:ptCount val="3"/>
                <c:pt idx="0">
                  <c:v>Calendar 2012</c:v>
                </c:pt>
                <c:pt idx="1">
                  <c:v>Calendar 2013</c:v>
                </c:pt>
                <c:pt idx="2">
                  <c:v>Calendar 2014</c:v>
                </c:pt>
              </c:strCache>
            </c:strRef>
          </c:cat>
          <c:val>
            <c:numRef>
              <c:f>'Category (2012-2014)'!$D$22:$D$24</c:f>
              <c:numCache>
                <c:formatCode>"$"#,##0_);\("$"#,##0\)</c:formatCode>
                <c:ptCount val="3"/>
                <c:pt idx="0">
                  <c:v>420000</c:v>
                </c:pt>
                <c:pt idx="1">
                  <c:v>529500</c:v>
                </c:pt>
                <c:pt idx="2">
                  <c:v>529500</c:v>
                </c:pt>
              </c:numCache>
            </c:numRef>
          </c:val>
        </c:ser>
        <c:ser>
          <c:idx val="3"/>
          <c:order val="2"/>
          <c:tx>
            <c:strRef>
              <c:f>'Category (2012-2014)'!$F$21</c:f>
              <c:strCache>
                <c:ptCount val="1"/>
                <c:pt idx="0">
                  <c:v>Council Staff</c:v>
                </c:pt>
              </c:strCache>
            </c:strRef>
          </c:tx>
          <c:cat>
            <c:strRef>
              <c:f>'Category (2012-2014)'!$B$22:$B$24</c:f>
              <c:strCache>
                <c:ptCount val="3"/>
                <c:pt idx="0">
                  <c:v>Calendar 2012</c:v>
                </c:pt>
                <c:pt idx="1">
                  <c:v>Calendar 2013</c:v>
                </c:pt>
                <c:pt idx="2">
                  <c:v>Calendar 2014</c:v>
                </c:pt>
              </c:strCache>
            </c:strRef>
          </c:cat>
          <c:val>
            <c:numRef>
              <c:f>'Category (2012-2014)'!$F$22:$F$24</c:f>
              <c:numCache>
                <c:formatCode>"$"#,##0_);\("$"#,##0\)</c:formatCode>
                <c:ptCount val="3"/>
                <c:pt idx="0">
                  <c:v>361000</c:v>
                </c:pt>
                <c:pt idx="1">
                  <c:v>296100</c:v>
                </c:pt>
                <c:pt idx="2">
                  <c:v>296100</c:v>
                </c:pt>
              </c:numCache>
            </c:numRef>
          </c:val>
        </c:ser>
        <c:overlap val="100"/>
        <c:axId val="117558656"/>
        <c:axId val="117560448"/>
      </c:barChart>
      <c:catAx>
        <c:axId val="117558656"/>
        <c:scaling>
          <c:orientation val="minMax"/>
        </c:scaling>
        <c:axPos val="b"/>
        <c:tickLblPos val="nextTo"/>
        <c:crossAx val="117560448"/>
        <c:crosses val="autoZero"/>
        <c:auto val="1"/>
        <c:lblAlgn val="ctr"/>
        <c:lblOffset val="100"/>
      </c:catAx>
      <c:valAx>
        <c:axId val="117560448"/>
        <c:scaling>
          <c:orientation val="minMax"/>
        </c:scaling>
        <c:axPos val="l"/>
        <c:majorGridlines/>
        <c:numFmt formatCode="&quot;$&quot;#,##0_);\(&quot;$&quot;#,##0\)" sourceLinked="1"/>
        <c:tickLblPos val="nextTo"/>
        <c:crossAx val="117558656"/>
        <c:crosses val="autoZero"/>
        <c:crossBetween val="between"/>
      </c:valAx>
    </c:plotArea>
    <c:legend>
      <c:legendPos val="r"/>
      <c:layout/>
    </c:legend>
    <c:plotVisOnly val="1"/>
  </c:chart>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Three-Year Outlook:  Funders (Not including Council)</a:t>
            </a:r>
          </a:p>
        </c:rich>
      </c:tx>
      <c:layout/>
    </c:title>
    <c:plotArea>
      <c:layout/>
      <c:barChart>
        <c:barDir val="col"/>
        <c:grouping val="stacked"/>
        <c:ser>
          <c:idx val="2"/>
          <c:order val="0"/>
          <c:tx>
            <c:strRef>
              <c:f>'Category (2012-2014)'!$B$40</c:f>
              <c:strCache>
                <c:ptCount val="1"/>
                <c:pt idx="0">
                  <c:v>RTF Management</c:v>
                </c:pt>
              </c:strCache>
            </c:strRef>
          </c:tx>
          <c:spPr>
            <a:solidFill>
              <a:schemeClr val="tx2">
                <a:lumMod val="40000"/>
                <a:lumOff val="60000"/>
              </a:schemeClr>
            </a:solidFill>
          </c:spPr>
          <c:cat>
            <c:strRef>
              <c:f>'Category (2012-2014)'!$C$37:$E$37</c:f>
              <c:strCache>
                <c:ptCount val="3"/>
                <c:pt idx="0">
                  <c:v>CY 2012</c:v>
                </c:pt>
                <c:pt idx="1">
                  <c:v>CY 2013</c:v>
                </c:pt>
                <c:pt idx="2">
                  <c:v>CY 2014</c:v>
                </c:pt>
              </c:strCache>
            </c:strRef>
          </c:cat>
          <c:val>
            <c:numRef>
              <c:f>'Category (2012-2014)'!$C$40:$E$40</c:f>
              <c:numCache>
                <c:formatCode>"$"#,##0_);\("$"#,##0\)</c:formatCode>
                <c:ptCount val="3"/>
                <c:pt idx="0">
                  <c:v>279000</c:v>
                </c:pt>
                <c:pt idx="1">
                  <c:v>399000</c:v>
                </c:pt>
                <c:pt idx="2">
                  <c:v>399000</c:v>
                </c:pt>
              </c:numCache>
            </c:numRef>
          </c:val>
        </c:ser>
        <c:ser>
          <c:idx val="1"/>
          <c:order val="1"/>
          <c:tx>
            <c:strRef>
              <c:f>'Category (2012-2014)'!$B$39</c:f>
              <c:strCache>
                <c:ptCount val="1"/>
                <c:pt idx="0">
                  <c:v>Tools, Research, Data &amp; Regional Coordination</c:v>
                </c:pt>
              </c:strCache>
            </c:strRef>
          </c:tx>
          <c:spPr>
            <a:solidFill>
              <a:schemeClr val="accent3">
                <a:lumMod val="60000"/>
                <a:lumOff val="40000"/>
              </a:schemeClr>
            </a:solidFill>
          </c:spPr>
          <c:cat>
            <c:strRef>
              <c:f>'Category (2012-2014)'!$C$37:$E$37</c:f>
              <c:strCache>
                <c:ptCount val="3"/>
                <c:pt idx="0">
                  <c:v>CY 2012</c:v>
                </c:pt>
                <c:pt idx="1">
                  <c:v>CY 2013</c:v>
                </c:pt>
                <c:pt idx="2">
                  <c:v>CY 2014</c:v>
                </c:pt>
              </c:strCache>
            </c:strRef>
          </c:cat>
          <c:val>
            <c:numRef>
              <c:f>'Category (2012-2014)'!$C$39:$E$39</c:f>
              <c:numCache>
                <c:formatCode>"$"#,##0_);\("$"#,##0\)</c:formatCode>
                <c:ptCount val="3"/>
                <c:pt idx="0">
                  <c:v>420000</c:v>
                </c:pt>
                <c:pt idx="1">
                  <c:v>398100</c:v>
                </c:pt>
                <c:pt idx="2">
                  <c:v>398100</c:v>
                </c:pt>
              </c:numCache>
            </c:numRef>
          </c:val>
        </c:ser>
        <c:ser>
          <c:idx val="0"/>
          <c:order val="2"/>
          <c:tx>
            <c:strRef>
              <c:f>'Category (2012-2014)'!$B$38</c:f>
              <c:strCache>
                <c:ptCount val="1"/>
                <c:pt idx="0">
                  <c:v>Measure Review &amp; Technical Analysis</c:v>
                </c:pt>
              </c:strCache>
            </c:strRef>
          </c:tx>
          <c:spPr>
            <a:solidFill>
              <a:schemeClr val="accent2">
                <a:lumMod val="40000"/>
                <a:lumOff val="60000"/>
              </a:schemeClr>
            </a:solidFill>
          </c:spPr>
          <c:cat>
            <c:strRef>
              <c:f>'Category (2012-2014)'!$C$37:$E$37</c:f>
              <c:strCache>
                <c:ptCount val="3"/>
                <c:pt idx="0">
                  <c:v>CY 2012</c:v>
                </c:pt>
                <c:pt idx="1">
                  <c:v>CY 2013</c:v>
                </c:pt>
                <c:pt idx="2">
                  <c:v>CY 2014</c:v>
                </c:pt>
              </c:strCache>
            </c:strRef>
          </c:cat>
          <c:val>
            <c:numRef>
              <c:f>'Category (2012-2014)'!$C$38:$E$38</c:f>
              <c:numCache>
                <c:formatCode>"$"#,##0_);\("$"#,##0\)</c:formatCode>
                <c:ptCount val="3"/>
                <c:pt idx="0">
                  <c:v>801000</c:v>
                </c:pt>
                <c:pt idx="1">
                  <c:v>704900</c:v>
                </c:pt>
                <c:pt idx="2">
                  <c:v>704900</c:v>
                </c:pt>
              </c:numCache>
            </c:numRef>
          </c:val>
        </c:ser>
        <c:overlap val="100"/>
        <c:axId val="117595136"/>
        <c:axId val="117605120"/>
      </c:barChart>
      <c:catAx>
        <c:axId val="117595136"/>
        <c:scaling>
          <c:orientation val="minMax"/>
        </c:scaling>
        <c:axPos val="b"/>
        <c:tickLblPos val="nextTo"/>
        <c:crossAx val="117605120"/>
        <c:crosses val="autoZero"/>
        <c:auto val="1"/>
        <c:lblAlgn val="ctr"/>
        <c:lblOffset val="100"/>
      </c:catAx>
      <c:valAx>
        <c:axId val="117605120"/>
        <c:scaling>
          <c:orientation val="minMax"/>
        </c:scaling>
        <c:axPos val="l"/>
        <c:majorGridlines/>
        <c:numFmt formatCode="&quot;$&quot;#,##0_);\(&quot;$&quot;#,##0\)" sourceLinked="1"/>
        <c:tickLblPos val="nextTo"/>
        <c:crossAx val="117595136"/>
        <c:crosses val="autoZero"/>
        <c:crossBetween val="between"/>
      </c:valAx>
    </c:plotArea>
    <c:legend>
      <c:legendPos val="r"/>
      <c:layout>
        <c:manualLayout>
          <c:xMode val="edge"/>
          <c:yMode val="edge"/>
          <c:x val="0.66851531058617908"/>
          <c:y val="0.10995953630796138"/>
          <c:w val="0.31481802274715753"/>
          <c:h val="0.77082166812482056"/>
        </c:manualLayout>
      </c:layout>
    </c:legend>
    <c:plotVisOnly val="1"/>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Three-Year Outlook:  Total (Including Council)</a:t>
            </a:r>
          </a:p>
        </c:rich>
      </c:tx>
      <c:layout/>
    </c:title>
    <c:plotArea>
      <c:layout/>
      <c:barChart>
        <c:barDir val="col"/>
        <c:grouping val="stacked"/>
        <c:ser>
          <c:idx val="0"/>
          <c:order val="0"/>
          <c:tx>
            <c:strRef>
              <c:f>'Category (2012-2014)'!$B$47</c:f>
              <c:strCache>
                <c:ptCount val="1"/>
                <c:pt idx="0">
                  <c:v>RTF Management</c:v>
                </c:pt>
              </c:strCache>
            </c:strRef>
          </c:tx>
          <c:spPr>
            <a:solidFill>
              <a:schemeClr val="tx2">
                <a:lumMod val="40000"/>
                <a:lumOff val="60000"/>
              </a:schemeClr>
            </a:solidFill>
          </c:spPr>
          <c:cat>
            <c:strRef>
              <c:f>'Category (2012-2014)'!$C$44:$E$44</c:f>
              <c:strCache>
                <c:ptCount val="3"/>
                <c:pt idx="0">
                  <c:v>CY 2012</c:v>
                </c:pt>
                <c:pt idx="1">
                  <c:v>CY 2013</c:v>
                </c:pt>
                <c:pt idx="2">
                  <c:v>CY 2014</c:v>
                </c:pt>
              </c:strCache>
            </c:strRef>
          </c:cat>
          <c:val>
            <c:numRef>
              <c:f>'Category (2012-2014)'!$C$47:$E$47</c:f>
              <c:numCache>
                <c:formatCode>"$"#,##0_);\("$"#,##0\)</c:formatCode>
                <c:ptCount val="3"/>
                <c:pt idx="0">
                  <c:v>516000</c:v>
                </c:pt>
                <c:pt idx="1">
                  <c:v>576000</c:v>
                </c:pt>
                <c:pt idx="2">
                  <c:v>576000</c:v>
                </c:pt>
              </c:numCache>
            </c:numRef>
          </c:val>
        </c:ser>
        <c:ser>
          <c:idx val="1"/>
          <c:order val="1"/>
          <c:tx>
            <c:strRef>
              <c:f>'Category (2012-2014)'!$B$46</c:f>
              <c:strCache>
                <c:ptCount val="1"/>
                <c:pt idx="0">
                  <c:v>Tools, Research, Data &amp; Regional Coordination</c:v>
                </c:pt>
              </c:strCache>
            </c:strRef>
          </c:tx>
          <c:spPr>
            <a:solidFill>
              <a:schemeClr val="accent3">
                <a:lumMod val="60000"/>
                <a:lumOff val="40000"/>
              </a:schemeClr>
            </a:solidFill>
          </c:spPr>
          <c:cat>
            <c:strRef>
              <c:f>'Category (2012-2014)'!$C$44:$E$44</c:f>
              <c:strCache>
                <c:ptCount val="3"/>
                <c:pt idx="0">
                  <c:v>CY 2012</c:v>
                </c:pt>
                <c:pt idx="1">
                  <c:v>CY 2013</c:v>
                </c:pt>
                <c:pt idx="2">
                  <c:v>CY 2014</c:v>
                </c:pt>
              </c:strCache>
            </c:strRef>
          </c:cat>
          <c:val>
            <c:numRef>
              <c:f>'Category (2012-2014)'!$C$46:$E$46</c:f>
              <c:numCache>
                <c:formatCode>"$"#,##0_);\("$"#,##0\)</c:formatCode>
                <c:ptCount val="3"/>
                <c:pt idx="0">
                  <c:v>468000</c:v>
                </c:pt>
                <c:pt idx="1">
                  <c:v>445500</c:v>
                </c:pt>
                <c:pt idx="2">
                  <c:v>445500</c:v>
                </c:pt>
              </c:numCache>
            </c:numRef>
          </c:val>
        </c:ser>
        <c:ser>
          <c:idx val="2"/>
          <c:order val="2"/>
          <c:tx>
            <c:strRef>
              <c:f>'Category (2012-2014)'!$B$45</c:f>
              <c:strCache>
                <c:ptCount val="1"/>
                <c:pt idx="0">
                  <c:v>Measure Review &amp; Technical Analysis</c:v>
                </c:pt>
              </c:strCache>
            </c:strRef>
          </c:tx>
          <c:spPr>
            <a:solidFill>
              <a:schemeClr val="accent2">
                <a:lumMod val="40000"/>
                <a:lumOff val="60000"/>
              </a:schemeClr>
            </a:solidFill>
          </c:spPr>
          <c:cat>
            <c:strRef>
              <c:f>'Category (2012-2014)'!$C$44:$E$44</c:f>
              <c:strCache>
                <c:ptCount val="3"/>
                <c:pt idx="0">
                  <c:v>CY 2012</c:v>
                </c:pt>
                <c:pt idx="1">
                  <c:v>CY 2013</c:v>
                </c:pt>
                <c:pt idx="2">
                  <c:v>CY 2014</c:v>
                </c:pt>
              </c:strCache>
            </c:strRef>
          </c:cat>
          <c:val>
            <c:numRef>
              <c:f>'Category (2012-2014)'!$C$45:$E$45</c:f>
              <c:numCache>
                <c:formatCode>"$"#,##0_);\("$"#,##0\)</c:formatCode>
                <c:ptCount val="3"/>
                <c:pt idx="0">
                  <c:v>877000</c:v>
                </c:pt>
                <c:pt idx="1">
                  <c:v>776600</c:v>
                </c:pt>
                <c:pt idx="2">
                  <c:v>776600</c:v>
                </c:pt>
              </c:numCache>
            </c:numRef>
          </c:val>
        </c:ser>
        <c:overlap val="100"/>
        <c:axId val="117614464"/>
        <c:axId val="117616000"/>
      </c:barChart>
      <c:catAx>
        <c:axId val="117614464"/>
        <c:scaling>
          <c:orientation val="minMax"/>
        </c:scaling>
        <c:axPos val="b"/>
        <c:tickLblPos val="nextTo"/>
        <c:crossAx val="117616000"/>
        <c:crosses val="autoZero"/>
        <c:auto val="1"/>
        <c:lblAlgn val="ctr"/>
        <c:lblOffset val="100"/>
      </c:catAx>
      <c:valAx>
        <c:axId val="117616000"/>
        <c:scaling>
          <c:orientation val="minMax"/>
        </c:scaling>
        <c:axPos val="l"/>
        <c:majorGridlines/>
        <c:numFmt formatCode="&quot;$&quot;#,##0_);\(&quot;$&quot;#,##0\)" sourceLinked="1"/>
        <c:tickLblPos val="nextTo"/>
        <c:crossAx val="117614464"/>
        <c:crosses val="autoZero"/>
        <c:crossBetween val="between"/>
      </c:valAx>
    </c:plotArea>
    <c:legend>
      <c:legendPos val="r"/>
      <c:layout>
        <c:manualLayout>
          <c:xMode val="edge"/>
          <c:yMode val="edge"/>
          <c:x val="0.66851531058617952"/>
          <c:y val="0.10995953630796138"/>
          <c:w val="0.31481802274715776"/>
          <c:h val="0.77082166812482111"/>
        </c:manualLayout>
      </c:layout>
    </c:legend>
    <c:plotVisOnly val="1"/>
  </c:chart>
  <c:txPr>
    <a:bodyPr/>
    <a:lstStyle/>
    <a:p>
      <a:pPr>
        <a:defRPr sz="1200"/>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168797</xdr:rowOff>
    </xdr:from>
    <xdr:to>
      <xdr:col>6</xdr:col>
      <xdr:colOff>3339779</xdr:colOff>
      <xdr:row>55</xdr:row>
      <xdr:rowOff>84398</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23</xdr:row>
      <xdr:rowOff>0</xdr:rowOff>
    </xdr:from>
    <xdr:to>
      <xdr:col>23</xdr:col>
      <xdr:colOff>253197</xdr:colOff>
      <xdr:row>55</xdr:row>
      <xdr:rowOff>108512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20</xdr:row>
      <xdr:rowOff>19050</xdr:rowOff>
    </xdr:from>
    <xdr:to>
      <xdr:col>13</xdr:col>
      <xdr:colOff>238125</xdr:colOff>
      <xdr:row>33</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723899</xdr:colOff>
      <xdr:row>36</xdr:row>
      <xdr:rowOff>66674</xdr:rowOff>
    </xdr:from>
    <xdr:to>
      <xdr:col>14</xdr:col>
      <xdr:colOff>380999</xdr:colOff>
      <xdr:row>53</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55</xdr:row>
      <xdr:rowOff>0</xdr:rowOff>
    </xdr:from>
    <xdr:to>
      <xdr:col>14</xdr:col>
      <xdr:colOff>390525</xdr:colOff>
      <xdr:row>72</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228599</xdr:colOff>
      <xdr:row>23</xdr:row>
      <xdr:rowOff>19050</xdr:rowOff>
    </xdr:from>
    <xdr:to>
      <xdr:col>1</xdr:col>
      <xdr:colOff>1000124</xdr:colOff>
      <xdr:row>33</xdr:row>
      <xdr:rowOff>104775</xdr:rowOff>
    </xdr:to>
    <xdr:sp macro="" textlink="">
      <xdr:nvSpPr>
        <xdr:cNvPr id="2" name="Rounded Rectangular Callout 1" descr="291fc636-9143-4bdc-90dc-ab9d0636823d"/>
        <xdr:cNvSpPr/>
      </xdr:nvSpPr>
      <xdr:spPr>
        <a:xfrm>
          <a:off x="228599" y="4514850"/>
          <a:ext cx="2047875" cy="2247900"/>
        </a:xfrm>
        <a:prstGeom prst="wedgeRoundRectCallout">
          <a:avLst>
            <a:gd name="adj1" fmla="val 62147"/>
            <a:gd name="adj2" fmla="val -376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Enter fraction of time that must be</a:t>
          </a:r>
          <a:r>
            <a:rPr lang="en-US" sz="1100" baseline="0"/>
            <a:t> retained at Council staff.   Includes contract development, financial, legal, some admin.  Plus some management and technical work  for  Tom, Charlie and Gillian.  The remainder to RTF contract staff or contract project  work.</a:t>
          </a:r>
        </a:p>
        <a:p>
          <a:pPr algn="l"/>
          <a:endParaRPr lang="en-US" sz="1100" baseline="0"/>
        </a:p>
      </xdr:txBody>
    </xdr:sp>
    <xdr:clientData/>
  </xdr:twoCellAnchor>
  <xdr:twoCellAnchor>
    <xdr:from>
      <xdr:col>0</xdr:col>
      <xdr:colOff>190499</xdr:colOff>
      <xdr:row>5</xdr:row>
      <xdr:rowOff>742950</xdr:rowOff>
    </xdr:from>
    <xdr:to>
      <xdr:col>1</xdr:col>
      <xdr:colOff>942974</xdr:colOff>
      <xdr:row>19</xdr:row>
      <xdr:rowOff>142875</xdr:rowOff>
    </xdr:to>
    <xdr:sp macro="" textlink="">
      <xdr:nvSpPr>
        <xdr:cNvPr id="3" name="Rounded Rectangular Callout 2" descr="5bb34e46-69ca-42c4-967c-2f067a52e970"/>
        <xdr:cNvSpPr/>
      </xdr:nvSpPr>
      <xdr:spPr>
        <a:xfrm>
          <a:off x="190499" y="1581150"/>
          <a:ext cx="2028825" cy="2324100"/>
        </a:xfrm>
        <a:prstGeom prst="wedgeRoundRectCallout">
          <a:avLst>
            <a:gd name="adj1" fmla="val 65009"/>
            <a:gd name="adj2" fmla="val -261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Revised from</a:t>
          </a:r>
          <a:r>
            <a:rPr lang="en-US" sz="1100" baseline="0"/>
            <a:t> 2011 to reflect less of Terry's time with RTF PAC and less of Sandra on charter and bylaws.  Also reduction in Tom and Charlie management after systems in place.  But more staff  technical review as measure throughput increases.    </a:t>
          </a:r>
        </a:p>
        <a:p>
          <a:pPr algn="l"/>
          <a:endParaRPr lang="en-US" sz="1100" baseline="0"/>
        </a:p>
      </xdr:txBody>
    </xdr:sp>
    <xdr:clientData/>
  </xdr:twoCellAnchor>
  <xdr:twoCellAnchor>
    <xdr:from>
      <xdr:col>0</xdr:col>
      <xdr:colOff>581025</xdr:colOff>
      <xdr:row>41</xdr:row>
      <xdr:rowOff>9525</xdr:rowOff>
    </xdr:from>
    <xdr:to>
      <xdr:col>2</xdr:col>
      <xdr:colOff>76200</xdr:colOff>
      <xdr:row>53</xdr:row>
      <xdr:rowOff>133350</xdr:rowOff>
    </xdr:to>
    <xdr:sp macro="" textlink="">
      <xdr:nvSpPr>
        <xdr:cNvPr id="4" name="Rounded Rectangular Callout 3" descr="f2507aa8-4808-40b0-a1e2-f4e0cad2bd45"/>
        <xdr:cNvSpPr/>
      </xdr:nvSpPr>
      <xdr:spPr>
        <a:xfrm>
          <a:off x="581025" y="7991475"/>
          <a:ext cx="2047875" cy="2590800"/>
        </a:xfrm>
        <a:prstGeom prst="wedgeRoundRectCallout">
          <a:avLst>
            <a:gd name="adj1" fmla="val 110054"/>
            <a:gd name="adj2" fmla="val -244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This table is simply the remainder from tables above.  Provides estimate of additional RTF</a:t>
          </a:r>
          <a:r>
            <a:rPr lang="en-US" sz="1100" baseline="0"/>
            <a:t> staff requirements.</a:t>
          </a:r>
        </a:p>
        <a:p>
          <a:pPr algn="l"/>
          <a:endParaRPr lang="en-US" sz="110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l2012RTFWorkPlan_1118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 of Contents"/>
      <sheetName val="Category (2012)"/>
      <sheetName val="Category Detail (2012)"/>
      <sheetName val="Category (2012-2014)"/>
      <sheetName val="NPCC In Kind"/>
      <sheetName val="Typical Rates"/>
      <sheetName val="Funding Shares"/>
      <sheetName val="Category Detail (2012 Initial)"/>
    </sheetNames>
    <sheetDataSet>
      <sheetData sheetId="0">
        <row r="2">
          <cell r="B2" t="str">
            <v>Final Draft - November 18, 2011</v>
          </cell>
        </row>
      </sheetData>
      <sheetData sheetId="1">
        <row r="6">
          <cell r="B6" t="str">
            <v>Existing Measure Review &amp; Updates</v>
          </cell>
        </row>
        <row r="7">
          <cell r="B7" t="str">
            <v>New Measure Development &amp; Review of Unsolicited Proposals</v>
          </cell>
        </row>
        <row r="8">
          <cell r="B8" t="str">
            <v>Standardization of Technical Analysis</v>
          </cell>
        </row>
        <row r="9">
          <cell r="B9" t="str">
            <v>Tool Development</v>
          </cell>
        </row>
        <row r="10">
          <cell r="B10" t="str">
            <v>Research Projects &amp; Data Development</v>
          </cell>
        </row>
        <row r="11">
          <cell r="B11" t="str">
            <v>Regional Coordination</v>
          </cell>
        </row>
        <row r="12">
          <cell r="B12" t="str">
            <v xml:space="preserve">Website, Database support, Conservation Tracking </v>
          </cell>
        </row>
        <row r="13">
          <cell r="B13" t="str">
            <v>RTF Member Support &amp; Administration</v>
          </cell>
        </row>
      </sheetData>
      <sheetData sheetId="2"/>
      <sheetData sheetId="3"/>
      <sheetData sheetId="4">
        <row r="4">
          <cell r="E4">
            <v>160000</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B1:C13"/>
  <sheetViews>
    <sheetView workbookViewId="0">
      <selection activeCell="B23" sqref="B23"/>
    </sheetView>
  </sheetViews>
  <sheetFormatPr defaultRowHeight="15"/>
  <cols>
    <col min="2" max="2" width="27.85546875" customWidth="1"/>
    <col min="3" max="3" width="92" customWidth="1"/>
    <col min="4" max="4" width="9.7109375" bestFit="1" customWidth="1"/>
  </cols>
  <sheetData>
    <row r="1" spans="2:3" ht="23.25">
      <c r="B1" s="80" t="s">
        <v>199</v>
      </c>
    </row>
    <row r="2" spans="2:3">
      <c r="B2" s="47" t="s">
        <v>271</v>
      </c>
      <c r="C2" s="92"/>
    </row>
    <row r="4" spans="2:3">
      <c r="B4" s="96" t="s">
        <v>194</v>
      </c>
      <c r="C4" s="96" t="s">
        <v>195</v>
      </c>
    </row>
    <row r="5" spans="2:3">
      <c r="B5" s="93" t="s">
        <v>199</v>
      </c>
      <c r="C5" s="94"/>
    </row>
    <row r="6" spans="2:3" ht="75">
      <c r="B6" s="93" t="s">
        <v>201</v>
      </c>
      <c r="C6" s="15" t="s">
        <v>206</v>
      </c>
    </row>
    <row r="7" spans="2:3" ht="60">
      <c r="B7" s="93" t="s">
        <v>202</v>
      </c>
      <c r="C7" s="15" t="s">
        <v>209</v>
      </c>
    </row>
    <row r="8" spans="2:3" ht="30">
      <c r="B8" s="93" t="s">
        <v>203</v>
      </c>
      <c r="C8" s="15" t="s">
        <v>210</v>
      </c>
    </row>
    <row r="9" spans="2:3">
      <c r="B9" s="93" t="s">
        <v>204</v>
      </c>
      <c r="C9" s="15" t="s">
        <v>208</v>
      </c>
    </row>
    <row r="10" spans="2:3" ht="30">
      <c r="B10" s="93" t="s">
        <v>205</v>
      </c>
      <c r="C10" s="15" t="s">
        <v>207</v>
      </c>
    </row>
    <row r="11" spans="2:3" ht="30">
      <c r="B11" s="93" t="s">
        <v>236</v>
      </c>
      <c r="C11" s="15" t="s">
        <v>237</v>
      </c>
    </row>
    <row r="12" spans="2:3">
      <c r="B12" s="226" t="s">
        <v>266</v>
      </c>
      <c r="C12" s="227" t="s">
        <v>269</v>
      </c>
    </row>
    <row r="13" spans="2:3">
      <c r="B13" s="226"/>
      <c r="C13" s="22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E23"/>
  <sheetViews>
    <sheetView workbookViewId="0">
      <selection activeCell="B2" sqref="B2:E29"/>
    </sheetView>
  </sheetViews>
  <sheetFormatPr defaultRowHeight="15"/>
  <cols>
    <col min="1" max="1" width="12.85546875" customWidth="1"/>
    <col min="2" max="2" width="82.42578125" customWidth="1"/>
    <col min="3" max="3" width="14" customWidth="1"/>
    <col min="4" max="4" width="14.7109375" customWidth="1"/>
    <col min="5" max="5" width="13.5703125" customWidth="1"/>
  </cols>
  <sheetData>
    <row r="2" spans="2:5" ht="37.5" customHeight="1">
      <c r="B2" s="262"/>
      <c r="C2" s="275" t="s">
        <v>112</v>
      </c>
      <c r="D2" s="276"/>
      <c r="E2" s="277"/>
    </row>
    <row r="3" spans="2:5" ht="72" customHeight="1">
      <c r="B3" s="263" t="s">
        <v>265</v>
      </c>
      <c r="C3" s="262" t="s">
        <v>300</v>
      </c>
      <c r="D3" s="262" t="s">
        <v>299</v>
      </c>
      <c r="E3" s="262" t="s">
        <v>298</v>
      </c>
    </row>
    <row r="4" spans="2:5" ht="15.75">
      <c r="B4" s="243" t="s">
        <v>84</v>
      </c>
      <c r="C4" s="250"/>
      <c r="D4" s="250"/>
      <c r="E4" s="89"/>
    </row>
    <row r="5" spans="2:5" ht="15.75">
      <c r="B5" s="244" t="s">
        <v>128</v>
      </c>
      <c r="C5" s="254">
        <f>'Category Detail (2012)'!E10</f>
        <v>42000</v>
      </c>
      <c r="D5" s="254">
        <v>70000</v>
      </c>
      <c r="E5" s="258">
        <f>C5-D5</f>
        <v>-28000</v>
      </c>
    </row>
    <row r="6" spans="2:5" ht="15.75">
      <c r="B6" s="245" t="s">
        <v>25</v>
      </c>
      <c r="C6" s="254">
        <f>'Category Detail (2012)'!E11</f>
        <v>30000</v>
      </c>
      <c r="D6" s="254">
        <v>60000</v>
      </c>
      <c r="E6" s="258">
        <f t="shared" ref="E6:E23" si="0">C6-D6</f>
        <v>-30000</v>
      </c>
    </row>
    <row r="7" spans="2:5" ht="15.75">
      <c r="B7" s="246" t="s">
        <v>22</v>
      </c>
      <c r="C7" s="252">
        <f>'Category Detail (2012)'!E12</f>
        <v>95000</v>
      </c>
      <c r="D7" s="252">
        <v>95000</v>
      </c>
      <c r="E7" s="86">
        <f t="shared" si="0"/>
        <v>0</v>
      </c>
    </row>
    <row r="8" spans="2:5" ht="15.75">
      <c r="B8" s="247" t="s">
        <v>276</v>
      </c>
      <c r="C8" s="252">
        <f>'Category Detail (2012)'!E13</f>
        <v>28000</v>
      </c>
      <c r="D8" s="252">
        <v>28000</v>
      </c>
      <c r="E8" s="86">
        <f t="shared" si="0"/>
        <v>0</v>
      </c>
    </row>
    <row r="9" spans="2:5" ht="15.75">
      <c r="B9" s="247" t="s">
        <v>264</v>
      </c>
      <c r="C9" s="252">
        <f>'Category Detail (2012)'!E14</f>
        <v>60000</v>
      </c>
      <c r="D9" s="252">
        <v>60000</v>
      </c>
      <c r="E9" s="86">
        <f t="shared" si="0"/>
        <v>0</v>
      </c>
    </row>
    <row r="10" spans="2:5" ht="15.75">
      <c r="B10" s="248" t="s">
        <v>26</v>
      </c>
      <c r="C10" s="253">
        <f>'Category Detail (2012)'!E15</f>
        <v>0</v>
      </c>
      <c r="D10" s="253">
        <v>0</v>
      </c>
      <c r="E10" s="86">
        <f t="shared" si="0"/>
        <v>0</v>
      </c>
    </row>
    <row r="11" spans="2:5" ht="15.75">
      <c r="B11" s="241" t="s">
        <v>301</v>
      </c>
      <c r="C11" s="255">
        <f>'Category Detail (2012)'!E16</f>
        <v>232000</v>
      </c>
      <c r="D11" s="255">
        <v>0</v>
      </c>
      <c r="E11" s="258">
        <f t="shared" si="0"/>
        <v>232000</v>
      </c>
    </row>
    <row r="12" spans="2:5" ht="15.75">
      <c r="B12" s="256" t="s">
        <v>296</v>
      </c>
      <c r="C12" s="257">
        <f>'Category Detail (2012)'!E17</f>
        <v>487000</v>
      </c>
      <c r="D12" s="257">
        <v>313000</v>
      </c>
      <c r="E12" s="258">
        <f t="shared" si="0"/>
        <v>174000</v>
      </c>
    </row>
    <row r="13" spans="2:5">
      <c r="B13" s="249"/>
      <c r="C13" s="251"/>
      <c r="D13" s="251"/>
      <c r="E13" s="86"/>
    </row>
    <row r="14" spans="2:5">
      <c r="B14" s="249"/>
      <c r="C14" s="251"/>
      <c r="D14" s="251"/>
      <c r="E14" s="86"/>
    </row>
    <row r="15" spans="2:5" ht="15.75">
      <c r="B15" s="243" t="s">
        <v>108</v>
      </c>
      <c r="C15" s="89"/>
      <c r="D15" s="89"/>
      <c r="E15" s="86"/>
    </row>
    <row r="16" spans="2:5" ht="15.75">
      <c r="B16" s="245" t="s">
        <v>160</v>
      </c>
      <c r="C16" s="254">
        <f>'Category Detail (2012)'!E21</f>
        <v>36000</v>
      </c>
      <c r="D16" s="254">
        <v>72000</v>
      </c>
      <c r="E16" s="258">
        <f t="shared" si="0"/>
        <v>-36000</v>
      </c>
    </row>
    <row r="17" spans="2:5" ht="15.75">
      <c r="B17" s="245" t="s">
        <v>159</v>
      </c>
      <c r="C17" s="254">
        <f>'Category Detail (2012)'!E22</f>
        <v>42000</v>
      </c>
      <c r="D17" s="254">
        <v>84000</v>
      </c>
      <c r="E17" s="258">
        <f t="shared" si="0"/>
        <v>-42000</v>
      </c>
    </row>
    <row r="18" spans="2:5" ht="15.75">
      <c r="B18" s="247" t="s">
        <v>29</v>
      </c>
      <c r="C18" s="251">
        <f>'Category Detail (2012)'!E23</f>
        <v>20000</v>
      </c>
      <c r="D18" s="251">
        <v>20000</v>
      </c>
      <c r="E18" s="86">
        <f t="shared" si="0"/>
        <v>0</v>
      </c>
    </row>
    <row r="19" spans="2:5" ht="15.75">
      <c r="B19" s="245" t="s">
        <v>277</v>
      </c>
      <c r="C19" s="254">
        <f>'Category Detail (2012)'!E24</f>
        <v>0</v>
      </c>
      <c r="D19" s="254">
        <v>96000</v>
      </c>
      <c r="E19" s="258">
        <f t="shared" si="0"/>
        <v>-96000</v>
      </c>
    </row>
    <row r="20" spans="2:5" ht="15.75">
      <c r="B20" s="247" t="s">
        <v>114</v>
      </c>
      <c r="C20" s="251">
        <f>'Category Detail (2012)'!E25</f>
        <v>40000</v>
      </c>
      <c r="D20" s="251">
        <v>40000</v>
      </c>
      <c r="E20" s="86">
        <f t="shared" si="0"/>
        <v>0</v>
      </c>
    </row>
    <row r="21" spans="2:5" ht="15.75">
      <c r="B21" s="248" t="s">
        <v>164</v>
      </c>
      <c r="C21" s="253">
        <f>'Category Detail (2012)'!E26</f>
        <v>0</v>
      </c>
      <c r="D21" s="253">
        <v>0</v>
      </c>
      <c r="E21" s="86">
        <f t="shared" si="0"/>
        <v>0</v>
      </c>
    </row>
    <row r="22" spans="2:5" ht="15.75">
      <c r="B22" s="248" t="s">
        <v>165</v>
      </c>
      <c r="C22" s="253">
        <f>'Category Detail (2012)'!E27</f>
        <v>0</v>
      </c>
      <c r="D22" s="253">
        <v>0</v>
      </c>
      <c r="E22" s="86">
        <f t="shared" si="0"/>
        <v>0</v>
      </c>
    </row>
    <row r="23" spans="2:5" ht="15.75">
      <c r="B23" s="256" t="s">
        <v>297</v>
      </c>
      <c r="C23" s="257">
        <f>'Category Detail (2012)'!E28</f>
        <v>138000</v>
      </c>
      <c r="D23" s="257">
        <v>312000</v>
      </c>
      <c r="E23" s="258">
        <f t="shared" si="0"/>
        <v>-174000</v>
      </c>
    </row>
  </sheetData>
  <mergeCells count="1">
    <mergeCell ref="C2:E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sheetPr codeName="Sheet2"/>
  <dimension ref="B1:M20"/>
  <sheetViews>
    <sheetView tabSelected="1" topLeftCell="G16" zoomScale="79" zoomScaleNormal="79" workbookViewId="0">
      <selection activeCell="R61" sqref="R61"/>
    </sheetView>
  </sheetViews>
  <sheetFormatPr defaultColWidth="8.85546875" defaultRowHeight="15"/>
  <cols>
    <col min="2" max="2" width="52.7109375" customWidth="1"/>
    <col min="3" max="3" width="13.7109375" customWidth="1"/>
    <col min="4" max="4" width="11" customWidth="1"/>
    <col min="5" max="5" width="12.140625" customWidth="1"/>
    <col min="6" max="6" width="15" customWidth="1"/>
    <col min="7" max="7" width="60.28515625" customWidth="1"/>
    <col min="8" max="8" width="4" customWidth="1"/>
    <col min="9" max="9" width="13.7109375" customWidth="1"/>
    <col min="10" max="10" width="15.5703125" customWidth="1"/>
    <col min="11" max="11" width="6.42578125" customWidth="1"/>
    <col min="12" max="12" width="12.7109375" customWidth="1"/>
    <col min="13" max="13" width="14" customWidth="1"/>
  </cols>
  <sheetData>
    <row r="1" spans="2:13" ht="23.25">
      <c r="B1" s="80" t="s">
        <v>196</v>
      </c>
    </row>
    <row r="2" spans="2:13">
      <c r="B2" s="47" t="s">
        <v>284</v>
      </c>
    </row>
    <row r="3" spans="2:13">
      <c r="B3" s="50"/>
    </row>
    <row r="4" spans="2:13" ht="26.25" customHeight="1">
      <c r="C4" s="265" t="s">
        <v>288</v>
      </c>
      <c r="D4" s="266"/>
      <c r="E4" s="266"/>
      <c r="F4" s="267"/>
      <c r="G4" s="14"/>
      <c r="I4" s="264" t="s">
        <v>282</v>
      </c>
      <c r="J4" s="264"/>
      <c r="L4" s="264" t="s">
        <v>267</v>
      </c>
      <c r="M4" s="264"/>
    </row>
    <row r="5" spans="2:13" ht="51.75">
      <c r="B5" s="13" t="s">
        <v>76</v>
      </c>
      <c r="C5" s="14" t="s">
        <v>85</v>
      </c>
      <c r="D5" s="14" t="s">
        <v>74</v>
      </c>
      <c r="E5" s="128" t="s">
        <v>112</v>
      </c>
      <c r="F5" s="123" t="s">
        <v>256</v>
      </c>
      <c r="G5" s="14" t="s">
        <v>24</v>
      </c>
      <c r="I5" s="228" t="s">
        <v>112</v>
      </c>
      <c r="J5" s="220" t="s">
        <v>283</v>
      </c>
      <c r="L5" s="228" t="s">
        <v>112</v>
      </c>
      <c r="M5" s="220" t="s">
        <v>268</v>
      </c>
    </row>
    <row r="6" spans="2:13" ht="53.25" customHeight="1">
      <c r="B6" s="214" t="s">
        <v>84</v>
      </c>
      <c r="C6" s="22">
        <f>'Category Detail (2012)'!C17</f>
        <v>400000</v>
      </c>
      <c r="D6" s="22">
        <f>'Category Detail (2012)'!D17</f>
        <v>87000</v>
      </c>
      <c r="E6" s="129">
        <f>'Category Detail (2012)'!E17</f>
        <v>487000</v>
      </c>
      <c r="F6" s="124">
        <f>'Category Detail (2012)'!F17</f>
        <v>33500</v>
      </c>
      <c r="G6" s="23" t="str">
        <f>CONCATENATE("Scalable.  Limit to ",'Category Detail (2012)'!H10," Active UES, ",'Category Detail (2012)'!H11," Provisional UES, ",'Category Detail (2012)'!H15," Protocol per year.  Eliminate 20 UES.  Three-year review cycle.")</f>
        <v>Scalable.  Limit to 6 Active UES, 5 Provisional UES, 0 Protocol per year.  Eliminate 20 UES.  Three-year review cycle.</v>
      </c>
      <c r="I6" s="129">
        <v>313000</v>
      </c>
      <c r="J6" s="129">
        <f>E6-I6</f>
        <v>174000</v>
      </c>
      <c r="L6" s="129">
        <f>'Category Detail (2012 Initial)'!E14</f>
        <v>225000</v>
      </c>
      <c r="M6" s="221">
        <f>E6-L6</f>
        <v>262000</v>
      </c>
    </row>
    <row r="7" spans="2:13" ht="60" customHeight="1">
      <c r="B7" s="214" t="s">
        <v>108</v>
      </c>
      <c r="C7" s="22">
        <f>'Category Detail (2012)'!C28</f>
        <v>101000</v>
      </c>
      <c r="D7" s="22">
        <f>'Category Detail (2012)'!D28</f>
        <v>37000</v>
      </c>
      <c r="E7" s="129">
        <f>'Category Detail (2012)'!E28</f>
        <v>138000</v>
      </c>
      <c r="F7" s="124">
        <f>'Category Detail (2012)'!F28</f>
        <v>18000</v>
      </c>
      <c r="G7" s="23" t="str">
        <f>CONCATENATE("Scalable.  Limit to ",'Category Detail (2012)'!H21," new UES, ",'Category Detail (2012)'!H22," new Protocols, ",'Category Detail (2012)'!H23," new small/rural UES/Protocol.  Placeholders for unsolicitied &amp; review of impact evaluation plans.")</f>
        <v>Scalable.  Limit to 2 new UES, 2 new Protocols, 1 new small/rural UES/Protocol.  Placeholders for unsolicitied &amp; review of impact evaluation plans.</v>
      </c>
      <c r="I7" s="129">
        <v>312000</v>
      </c>
      <c r="J7" s="129">
        <f t="shared" ref="J7:J15" si="0">E7-I7</f>
        <v>-174000</v>
      </c>
      <c r="L7" s="129">
        <f>'Category Detail (2012 Initial)'!E25</f>
        <v>344000</v>
      </c>
      <c r="M7" s="221">
        <f t="shared" ref="M7:M15" si="1">E7-L7</f>
        <v>-206000</v>
      </c>
    </row>
    <row r="8" spans="2:13" ht="38.25" customHeight="1">
      <c r="B8" s="214" t="s">
        <v>77</v>
      </c>
      <c r="C8" s="22">
        <f>'Category Detail (2012)'!C42</f>
        <v>134000</v>
      </c>
      <c r="D8" s="22">
        <f>'Category Detail (2012)'!D42</f>
        <v>42000</v>
      </c>
      <c r="E8" s="129">
        <f>'Category Detail (2012)'!E42</f>
        <v>176000</v>
      </c>
      <c r="F8" s="124">
        <f>'Category Detail (2012)'!F42</f>
        <v>24500</v>
      </c>
      <c r="G8" s="23" t="s">
        <v>52</v>
      </c>
      <c r="I8" s="129">
        <v>176000</v>
      </c>
      <c r="J8" s="129">
        <f t="shared" si="0"/>
        <v>0</v>
      </c>
      <c r="L8" s="129">
        <f>'Category Detail (2012 Initial)'!E38</f>
        <v>182000</v>
      </c>
      <c r="M8" s="221">
        <f t="shared" si="1"/>
        <v>-6000</v>
      </c>
    </row>
    <row r="9" spans="2:13" ht="38.25" customHeight="1">
      <c r="B9" s="215" t="s">
        <v>101</v>
      </c>
      <c r="C9" s="17">
        <f>'Category Detail (2012)'!C57</f>
        <v>86000</v>
      </c>
      <c r="D9" s="17">
        <f>'Category Detail (2012)'!D57</f>
        <v>48000</v>
      </c>
      <c r="E9" s="130">
        <f>'Category Detail (2012)'!E57</f>
        <v>134000</v>
      </c>
      <c r="F9" s="125">
        <f>'Category Detail (2012)'!F57</f>
        <v>12000</v>
      </c>
      <c r="G9" s="18" t="s">
        <v>53</v>
      </c>
      <c r="I9" s="130">
        <v>134000</v>
      </c>
      <c r="J9" s="130">
        <f t="shared" si="0"/>
        <v>0</v>
      </c>
      <c r="L9" s="130">
        <f>'Category Detail (2012 Initial)'!E53</f>
        <v>134000</v>
      </c>
      <c r="M9" s="222">
        <f t="shared" si="1"/>
        <v>0</v>
      </c>
    </row>
    <row r="10" spans="2:13" ht="38.25" customHeight="1">
      <c r="B10" s="215" t="s">
        <v>50</v>
      </c>
      <c r="C10" s="17">
        <f>'Category Detail (2012)'!C65</f>
        <v>180000</v>
      </c>
      <c r="D10" s="17">
        <f>'Category Detail (2012)'!D65</f>
        <v>48000</v>
      </c>
      <c r="E10" s="130">
        <f>'Category Detail (2012)'!E65</f>
        <v>228000</v>
      </c>
      <c r="F10" s="125">
        <f>'Category Detail (2012)'!F65</f>
        <v>24000</v>
      </c>
      <c r="G10" s="18" t="s">
        <v>53</v>
      </c>
      <c r="I10" s="130">
        <v>228000</v>
      </c>
      <c r="J10" s="130">
        <f t="shared" si="0"/>
        <v>0</v>
      </c>
      <c r="L10" s="130">
        <f>'Category Detail (2012 Initial)'!E61</f>
        <v>278000</v>
      </c>
      <c r="M10" s="222">
        <f t="shared" si="1"/>
        <v>-50000</v>
      </c>
    </row>
    <row r="11" spans="2:13" ht="38.25" customHeight="1">
      <c r="B11" s="215" t="s">
        <v>117</v>
      </c>
      <c r="C11" s="17">
        <f>'Category Detail (2012)'!C74</f>
        <v>0</v>
      </c>
      <c r="D11" s="17">
        <f>'Category Detail (2012)'!D74</f>
        <v>58000</v>
      </c>
      <c r="E11" s="130">
        <f>'Category Detail (2012)'!E74</f>
        <v>58000</v>
      </c>
      <c r="F11" s="125">
        <f>'Category Detail (2012)'!F74</f>
        <v>12000</v>
      </c>
      <c r="G11" s="18" t="s">
        <v>53</v>
      </c>
      <c r="I11" s="130">
        <v>58000</v>
      </c>
      <c r="J11" s="130">
        <f t="shared" si="0"/>
        <v>0</v>
      </c>
      <c r="L11" s="130">
        <f>'Category Detail (2012 Initial)'!E70</f>
        <v>58000</v>
      </c>
      <c r="M11" s="222">
        <f t="shared" si="1"/>
        <v>0</v>
      </c>
    </row>
    <row r="12" spans="2:13" ht="38.25" customHeight="1">
      <c r="B12" s="216" t="s">
        <v>75</v>
      </c>
      <c r="C12" s="11">
        <f>'Category Detail (2012)'!C81</f>
        <v>0</v>
      </c>
      <c r="D12" s="11">
        <f>'Category Detail (2012)'!D81</f>
        <v>0</v>
      </c>
      <c r="E12" s="131">
        <f>'Category Detail (2012)'!E81</f>
        <v>0</v>
      </c>
      <c r="F12" s="126">
        <f>'Category Detail (2012)'!F81</f>
        <v>50000</v>
      </c>
      <c r="G12" s="20" t="s">
        <v>51</v>
      </c>
      <c r="I12" s="131">
        <v>0</v>
      </c>
      <c r="J12" s="131">
        <f t="shared" si="0"/>
        <v>0</v>
      </c>
      <c r="L12" s="223">
        <f>'Category Detail (2012 Initial)'!E77</f>
        <v>0</v>
      </c>
      <c r="M12" s="224">
        <f t="shared" si="1"/>
        <v>0</v>
      </c>
    </row>
    <row r="13" spans="2:13" ht="38.25" customHeight="1">
      <c r="B13" s="216" t="s">
        <v>37</v>
      </c>
      <c r="C13" s="11">
        <f>'Category Detail (2012)'!C87</f>
        <v>174000</v>
      </c>
      <c r="D13" s="11">
        <f>'Category Detail (2012)'!D87</f>
        <v>0</v>
      </c>
      <c r="E13" s="131">
        <f>'Category Detail (2012)'!E87</f>
        <v>174000</v>
      </c>
      <c r="F13" s="126">
        <f>'Category Detail (2012)'!F87</f>
        <v>7000</v>
      </c>
      <c r="G13" s="20" t="s">
        <v>51</v>
      </c>
      <c r="I13" s="131">
        <v>174000</v>
      </c>
      <c r="J13" s="131">
        <f t="shared" si="0"/>
        <v>0</v>
      </c>
      <c r="L13" s="223">
        <f>'Category Detail (2012 Initial)'!E83</f>
        <v>174000</v>
      </c>
      <c r="M13" s="224">
        <f t="shared" si="1"/>
        <v>0</v>
      </c>
    </row>
    <row r="14" spans="2:13" ht="38.25" customHeight="1">
      <c r="B14" s="216" t="s">
        <v>83</v>
      </c>
      <c r="C14" s="11">
        <f>'Category Detail (2012)'!C94</f>
        <v>5000</v>
      </c>
      <c r="D14" s="11">
        <f>'Category Detail (2012)'!D94</f>
        <v>100000</v>
      </c>
      <c r="E14" s="131">
        <f>'Category Detail (2012)'!E94</f>
        <v>105000</v>
      </c>
      <c r="F14" s="126">
        <f>'Category Detail (2012)'!F94</f>
        <v>180000</v>
      </c>
      <c r="G14" s="20" t="s">
        <v>51</v>
      </c>
      <c r="I14" s="131">
        <v>105000</v>
      </c>
      <c r="J14" s="131">
        <f t="shared" si="0"/>
        <v>0</v>
      </c>
      <c r="L14" s="223">
        <f>'Category Detail (2012 Initial)'!E90</f>
        <v>105000</v>
      </c>
      <c r="M14" s="224">
        <f t="shared" si="1"/>
        <v>0</v>
      </c>
    </row>
    <row r="15" spans="2:13" ht="38.25" customHeight="1">
      <c r="B15" s="83" t="s">
        <v>38</v>
      </c>
      <c r="C15" s="84">
        <f>SUM(C6:C14)</f>
        <v>1080000</v>
      </c>
      <c r="D15" s="84">
        <f t="shared" ref="D15:F15" si="2">SUM(D6:D14)</f>
        <v>420000</v>
      </c>
      <c r="E15" s="132">
        <f t="shared" si="2"/>
        <v>1500000</v>
      </c>
      <c r="F15" s="127">
        <f t="shared" si="2"/>
        <v>361000</v>
      </c>
      <c r="G15" s="15"/>
      <c r="I15" s="132">
        <v>1500000</v>
      </c>
      <c r="J15" s="132">
        <f t="shared" si="0"/>
        <v>0</v>
      </c>
      <c r="L15" s="229">
        <f>'Category Detail (2012 Initial)'!E93</f>
        <v>1500000</v>
      </c>
      <c r="M15" s="230">
        <f t="shared" si="1"/>
        <v>0</v>
      </c>
    </row>
    <row r="16" spans="2:13">
      <c r="L16" s="225"/>
    </row>
    <row r="20" spans="5:9">
      <c r="E20" t="s">
        <v>286</v>
      </c>
      <c r="I20" t="s">
        <v>285</v>
      </c>
    </row>
  </sheetData>
  <mergeCells count="3">
    <mergeCell ref="L4:M4"/>
    <mergeCell ref="C4:F4"/>
    <mergeCell ref="I4:J4"/>
  </mergeCells>
  <phoneticPr fontId="20" type="noConversion"/>
  <pageMargins left="0.7" right="0.7" top="0.75" bottom="0.75" header="0.3" footer="0.3"/>
  <pageSetup orientation="portrait" r:id="rId1"/>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sheetPr codeName="Sheet3"/>
  <dimension ref="A1:Z106"/>
  <sheetViews>
    <sheetView topLeftCell="A7" zoomScale="85" zoomScaleNormal="85" zoomScalePageLayoutView="78" workbookViewId="0">
      <pane xSplit="2" ySplit="2" topLeftCell="C9" activePane="bottomRight" state="frozen"/>
      <selection activeCell="A7" sqref="A7"/>
      <selection pane="topRight" activeCell="C7" sqref="C7"/>
      <selection pane="bottomLeft" activeCell="A9" sqref="A9"/>
      <selection pane="bottomRight" activeCell="B16" sqref="B16"/>
    </sheetView>
  </sheetViews>
  <sheetFormatPr defaultColWidth="8.85546875" defaultRowHeight="15"/>
  <cols>
    <col min="1" max="1" width="18.7109375" customWidth="1"/>
    <col min="2" max="2" width="84" bestFit="1" customWidth="1"/>
    <col min="3" max="3" width="15.28515625" customWidth="1"/>
    <col min="4" max="4" width="13.42578125" customWidth="1"/>
    <col min="5" max="5" width="27" customWidth="1"/>
    <col min="6" max="6" width="16.7109375" customWidth="1"/>
    <col min="7" max="7" width="6.7109375" customWidth="1"/>
    <col min="8" max="8" width="7" customWidth="1"/>
    <col min="9" max="9" width="10.42578125" customWidth="1"/>
    <col min="10" max="10" width="14.42578125" bestFit="1" customWidth="1"/>
    <col min="11" max="11" width="10" bestFit="1" customWidth="1"/>
    <col min="12" max="12" width="10" customWidth="1"/>
    <col min="13" max="13" width="81.140625" customWidth="1"/>
    <col min="14" max="14" width="8.85546875" style="52"/>
  </cols>
  <sheetData>
    <row r="1" spans="1:23" ht="23.25">
      <c r="B1" s="80" t="s">
        <v>211</v>
      </c>
    </row>
    <row r="2" spans="1:23">
      <c r="B2" t="str">
        <f>'Table of Contents'!B2</f>
        <v>Final Draft - November 18, 2011</v>
      </c>
    </row>
    <row r="3" spans="1:23">
      <c r="B3" s="50"/>
    </row>
    <row r="4" spans="1:23">
      <c r="B4" t="s">
        <v>168</v>
      </c>
    </row>
    <row r="5" spans="1:23">
      <c r="B5" t="s">
        <v>169</v>
      </c>
    </row>
    <row r="7" spans="1:23" ht="27" customHeight="1">
      <c r="E7" s="219">
        <f>E97</f>
        <v>1500000</v>
      </c>
      <c r="G7" s="81"/>
      <c r="H7" s="268" t="s">
        <v>167</v>
      </c>
      <c r="I7" s="269"/>
      <c r="J7" s="269"/>
      <c r="K7" s="270"/>
      <c r="L7" s="121">
        <v>120000</v>
      </c>
    </row>
    <row r="8" spans="1:23" s="2" customFormat="1" ht="77.25" customHeight="1">
      <c r="A8" s="259" t="s">
        <v>294</v>
      </c>
      <c r="B8" s="231" t="s">
        <v>265</v>
      </c>
      <c r="C8" s="232" t="s">
        <v>85</v>
      </c>
      <c r="D8" s="232" t="s">
        <v>273</v>
      </c>
      <c r="E8" s="232" t="s">
        <v>274</v>
      </c>
      <c r="F8" s="232" t="s">
        <v>272</v>
      </c>
      <c r="H8" s="94" t="s">
        <v>115</v>
      </c>
      <c r="I8" s="94" t="s">
        <v>116</v>
      </c>
      <c r="J8" s="94" t="s">
        <v>47</v>
      </c>
      <c r="K8" s="94" t="s">
        <v>48</v>
      </c>
      <c r="L8" s="122" t="s">
        <v>255</v>
      </c>
      <c r="M8" s="5" t="s">
        <v>24</v>
      </c>
      <c r="N8" s="48"/>
    </row>
    <row r="9" spans="1:23" s="2" customFormat="1" ht="15.75" customHeight="1">
      <c r="A9" s="235"/>
      <c r="B9" s="144" t="str">
        <f>'Category (2012)'!B6</f>
        <v>Existing Measure Review &amp; Updates</v>
      </c>
      <c r="C9" s="145"/>
      <c r="D9" s="145"/>
      <c r="E9" s="145"/>
      <c r="F9" s="145"/>
      <c r="G9" s="146"/>
      <c r="H9" s="146"/>
      <c r="I9" s="147"/>
      <c r="J9" s="146"/>
      <c r="K9" s="146"/>
      <c r="L9" s="146"/>
      <c r="M9" s="146"/>
      <c r="N9" s="148"/>
      <c r="O9" s="146"/>
      <c r="P9" s="146"/>
      <c r="Q9" s="146"/>
      <c r="R9" s="146"/>
      <c r="S9" s="146"/>
      <c r="T9" s="146"/>
      <c r="U9" s="146"/>
      <c r="V9" s="146"/>
      <c r="W9" s="146"/>
    </row>
    <row r="10" spans="1:23" s="2" customFormat="1" ht="15.75" customHeight="1">
      <c r="A10" s="260" t="s">
        <v>295</v>
      </c>
      <c r="B10" s="241" t="s">
        <v>128</v>
      </c>
      <c r="C10" s="150">
        <f>H10*I10</f>
        <v>36000</v>
      </c>
      <c r="D10" s="150">
        <f>H10*J10</f>
        <v>6000</v>
      </c>
      <c r="E10" s="150">
        <f t="shared" ref="E10:E16" si="0">SUM(C10:D10)</f>
        <v>42000</v>
      </c>
      <c r="F10" s="150">
        <f>H10*K10</f>
        <v>6000</v>
      </c>
      <c r="G10" s="146"/>
      <c r="H10" s="146">
        <v>6</v>
      </c>
      <c r="I10" s="147">
        <v>6000</v>
      </c>
      <c r="J10" s="151">
        <v>1000</v>
      </c>
      <c r="K10" s="151">
        <v>1000</v>
      </c>
      <c r="L10" s="152">
        <f>$L$7/SUM(I10:K10)</f>
        <v>15</v>
      </c>
      <c r="M10" s="153" t="str">
        <f>CONCATENATE("Library of approx 30 Active UES on average 3-year review cycle or n=",H10," per year @ $",I10/1000,"K each")</f>
        <v>Library of approx 30 Active UES on average 3-year review cycle or n=6 per year @ $6K each</v>
      </c>
      <c r="N10" s="148"/>
      <c r="O10" s="146"/>
      <c r="P10" s="146"/>
      <c r="Q10" s="146"/>
      <c r="R10" s="146"/>
      <c r="S10" s="146"/>
      <c r="T10" s="146"/>
      <c r="U10" s="146"/>
      <c r="V10" s="146"/>
      <c r="W10" s="146"/>
    </row>
    <row r="11" spans="1:23" s="2" customFormat="1" ht="15.75" customHeight="1">
      <c r="A11" s="260" t="s">
        <v>279</v>
      </c>
      <c r="B11" s="242" t="s">
        <v>25</v>
      </c>
      <c r="C11" s="150">
        <f t="shared" ref="C11:C16" si="1">H11*I11</f>
        <v>20000</v>
      </c>
      <c r="D11" s="150">
        <f t="shared" ref="D11:D16" si="2">H11*J11</f>
        <v>10000</v>
      </c>
      <c r="E11" s="150">
        <f t="shared" si="0"/>
        <v>30000</v>
      </c>
      <c r="F11" s="150">
        <f t="shared" ref="F11:F16" si="3">H11*K11</f>
        <v>10000</v>
      </c>
      <c r="G11" s="146"/>
      <c r="H11" s="146">
        <v>5</v>
      </c>
      <c r="I11" s="147">
        <v>4000</v>
      </c>
      <c r="J11" s="151">
        <v>2000</v>
      </c>
      <c r="K11" s="151">
        <v>2000</v>
      </c>
      <c r="L11" s="152">
        <f t="shared" ref="L11:L16" si="4">$L$7/SUM(I11:K11)</f>
        <v>15</v>
      </c>
      <c r="M11" s="153" t="str">
        <f>CONCATENATE("Library of approx 30 Prov UES on average 3-year review cycle or n=",H11," per year @ $",I11/1000,"K each")</f>
        <v>Library of approx 30 Prov UES on average 3-year review cycle or n=5 per year @ $4K each</v>
      </c>
      <c r="N11" s="155"/>
      <c r="O11" s="146"/>
      <c r="P11" s="146"/>
      <c r="Q11" s="146"/>
      <c r="R11" s="146"/>
      <c r="S11" s="146"/>
      <c r="T11" s="146"/>
      <c r="U11" s="146"/>
      <c r="V11" s="146"/>
      <c r="W11" s="146"/>
    </row>
    <row r="12" spans="1:23" s="49" customFormat="1" ht="15.75" customHeight="1">
      <c r="A12" s="236"/>
      <c r="B12" s="149" t="s">
        <v>22</v>
      </c>
      <c r="C12" s="160">
        <f t="shared" ref="C12" si="5">H12*I12</f>
        <v>75000</v>
      </c>
      <c r="D12" s="160">
        <f t="shared" ref="D12" si="6">H12*J12</f>
        <v>20000</v>
      </c>
      <c r="E12" s="160">
        <f t="shared" si="0"/>
        <v>95000</v>
      </c>
      <c r="F12" s="160">
        <f t="shared" ref="F12" si="7">H12*K12</f>
        <v>10000</v>
      </c>
      <c r="G12" s="146"/>
      <c r="H12" s="146">
        <v>5</v>
      </c>
      <c r="I12" s="147">
        <v>15000</v>
      </c>
      <c r="J12" s="147">
        <v>4000</v>
      </c>
      <c r="K12" s="147">
        <v>2000</v>
      </c>
      <c r="L12" s="152">
        <f>$L$7/SUM(I12:K12)</f>
        <v>5.7142857142857144</v>
      </c>
      <c r="M12" s="161" t="s">
        <v>129</v>
      </c>
      <c r="N12" s="148"/>
      <c r="O12" s="162"/>
      <c r="P12" s="162"/>
      <c r="Q12" s="162"/>
      <c r="R12" s="162"/>
      <c r="S12" s="162"/>
      <c r="T12" s="162"/>
      <c r="U12" s="162"/>
      <c r="V12" s="162"/>
      <c r="W12" s="162"/>
    </row>
    <row r="13" spans="1:23" s="2" customFormat="1" ht="15.75" customHeight="1">
      <c r="A13" s="235"/>
      <c r="B13" s="154" t="s">
        <v>276</v>
      </c>
      <c r="C13" s="160">
        <f t="shared" ref="C13" si="8">H13*I13</f>
        <v>24000</v>
      </c>
      <c r="D13" s="160">
        <f t="shared" ref="D13" si="9">H13*J13</f>
        <v>4000</v>
      </c>
      <c r="E13" s="160">
        <f t="shared" si="0"/>
        <v>28000</v>
      </c>
      <c r="F13" s="160">
        <f t="shared" ref="F13" si="10">H13*K13</f>
        <v>0</v>
      </c>
      <c r="G13" s="146"/>
      <c r="H13" s="146">
        <v>8</v>
      </c>
      <c r="I13" s="147">
        <v>3000</v>
      </c>
      <c r="J13" s="151">
        <v>500</v>
      </c>
      <c r="K13" s="151"/>
      <c r="L13" s="152"/>
      <c r="M13" s="153"/>
      <c r="N13" s="155"/>
      <c r="O13" s="146"/>
      <c r="P13" s="146"/>
      <c r="Q13" s="146"/>
      <c r="R13" s="146"/>
      <c r="S13" s="146"/>
      <c r="T13" s="146"/>
      <c r="U13" s="146"/>
      <c r="V13" s="146"/>
      <c r="W13" s="146"/>
    </row>
    <row r="14" spans="1:23" s="2" customFormat="1" ht="15.75" customHeight="1">
      <c r="A14" s="235"/>
      <c r="B14" s="154" t="s">
        <v>264</v>
      </c>
      <c r="C14" s="160">
        <f t="shared" ref="C14" si="11">H14*I14</f>
        <v>45000</v>
      </c>
      <c r="D14" s="160">
        <f t="shared" ref="D14" si="12">H14*J14</f>
        <v>15000</v>
      </c>
      <c r="E14" s="160">
        <f t="shared" si="0"/>
        <v>60000</v>
      </c>
      <c r="F14" s="160">
        <f t="shared" ref="F14" si="13">H14*K14</f>
        <v>7500</v>
      </c>
      <c r="G14" s="146"/>
      <c r="H14" s="146">
        <v>15</v>
      </c>
      <c r="I14" s="147">
        <v>3000</v>
      </c>
      <c r="J14" s="151">
        <v>1000</v>
      </c>
      <c r="K14" s="151">
        <v>500</v>
      </c>
      <c r="L14" s="152">
        <f>$L$7/SUM(I14:K14)</f>
        <v>26.666666666666668</v>
      </c>
      <c r="M14" s="153" t="str">
        <f>CONCATENATE("Assume ",20," from 2011 review require additional data develiopment by copntactors.")</f>
        <v>Assume 20 from 2011 review require additional data develiopment by copntactors.</v>
      </c>
      <c r="N14" s="155"/>
      <c r="O14" s="146"/>
      <c r="P14" s="146"/>
      <c r="Q14" s="146"/>
      <c r="R14" s="146"/>
      <c r="S14" s="146"/>
      <c r="T14" s="146"/>
      <c r="U14" s="146"/>
      <c r="V14" s="146"/>
      <c r="W14" s="146"/>
    </row>
    <row r="15" spans="1:23" s="2" customFormat="1" ht="15.75" customHeight="1">
      <c r="A15" s="235"/>
      <c r="B15" s="156" t="s">
        <v>26</v>
      </c>
      <c r="C15" s="157">
        <f t="shared" si="1"/>
        <v>0</v>
      </c>
      <c r="D15" s="157">
        <f t="shared" si="2"/>
        <v>0</v>
      </c>
      <c r="E15" s="157">
        <f t="shared" si="0"/>
        <v>0</v>
      </c>
      <c r="F15" s="157">
        <f t="shared" si="3"/>
        <v>0</v>
      </c>
      <c r="G15" s="158"/>
      <c r="H15" s="158">
        <v>0</v>
      </c>
      <c r="I15" s="159">
        <v>15000</v>
      </c>
      <c r="J15" s="159">
        <v>3000</v>
      </c>
      <c r="K15" s="159">
        <v>3000</v>
      </c>
      <c r="L15" s="152">
        <f t="shared" si="4"/>
        <v>5.7142857142857144</v>
      </c>
      <c r="M15" s="153" t="str">
        <f>CONCATENATE("Eventual library of 6 Protocols on 3-year review cycle for n=",H15," per year @ $",I15/1000,"K each.  For 2012 no existing reviews.")</f>
        <v>Eventual library of 6 Protocols on 3-year review cycle for n=0 per year @ $15K each.  For 2012 no existing reviews.</v>
      </c>
      <c r="N15" s="155"/>
      <c r="O15" s="146"/>
      <c r="P15" s="146"/>
      <c r="Q15" s="146"/>
      <c r="R15" s="146"/>
      <c r="S15" s="146"/>
      <c r="T15" s="146"/>
      <c r="U15" s="146"/>
      <c r="V15" s="146"/>
      <c r="W15" s="146"/>
    </row>
    <row r="16" spans="1:23" s="2" customFormat="1" ht="15.75" customHeight="1">
      <c r="A16" s="260" t="s">
        <v>287</v>
      </c>
      <c r="B16" s="241" t="s">
        <v>301</v>
      </c>
      <c r="C16" s="160">
        <f t="shared" si="1"/>
        <v>200000</v>
      </c>
      <c r="D16" s="160">
        <f t="shared" si="2"/>
        <v>32000</v>
      </c>
      <c r="E16" s="160">
        <f t="shared" si="0"/>
        <v>232000</v>
      </c>
      <c r="F16" s="160">
        <f t="shared" si="3"/>
        <v>0</v>
      </c>
      <c r="G16" s="146"/>
      <c r="H16" s="146">
        <v>40</v>
      </c>
      <c r="I16" s="147">
        <v>5000</v>
      </c>
      <c r="J16" s="151">
        <v>800</v>
      </c>
      <c r="K16" s="151">
        <v>0</v>
      </c>
      <c r="L16" s="152">
        <f t="shared" si="4"/>
        <v>20.689655172413794</v>
      </c>
      <c r="M16" s="153"/>
      <c r="N16" s="155"/>
      <c r="O16" s="146"/>
      <c r="P16" s="146"/>
      <c r="Q16" s="146"/>
      <c r="R16" s="146"/>
      <c r="S16" s="146"/>
      <c r="T16" s="146"/>
      <c r="U16" s="146"/>
      <c r="V16" s="146"/>
      <c r="W16" s="146"/>
    </row>
    <row r="17" spans="1:23" s="2" customFormat="1" ht="15.75" customHeight="1">
      <c r="B17" s="144" t="str">
        <f>CONCATENATE("Subtotal ",B9)</f>
        <v>Subtotal Existing Measure Review &amp; Updates</v>
      </c>
      <c r="C17" s="163">
        <f>SUM(C10:C16)</f>
        <v>400000</v>
      </c>
      <c r="D17" s="163">
        <f>SUM(D10:D16)</f>
        <v>87000</v>
      </c>
      <c r="E17" s="163">
        <f>SUM(E10:E16)</f>
        <v>487000</v>
      </c>
      <c r="F17" s="163">
        <f>SUM(F10:F16)</f>
        <v>33500</v>
      </c>
      <c r="G17" s="146"/>
      <c r="H17" s="146"/>
      <c r="I17" s="151"/>
      <c r="J17" s="151"/>
      <c r="K17" s="151"/>
      <c r="L17" s="151"/>
      <c r="M17" s="164"/>
      <c r="N17" s="148"/>
      <c r="O17" s="146"/>
      <c r="P17" s="146"/>
      <c r="Q17" s="146"/>
      <c r="R17" s="146"/>
      <c r="S17" s="146"/>
      <c r="T17" s="146"/>
      <c r="U17" s="146"/>
      <c r="V17" s="146"/>
      <c r="W17" s="146"/>
    </row>
    <row r="18" spans="1:23" s="2" customFormat="1" ht="15.75" customHeight="1">
      <c r="B18" s="146"/>
      <c r="C18" s="150"/>
      <c r="D18" s="150"/>
      <c r="E18" s="150"/>
      <c r="F18" s="145"/>
      <c r="G18" s="146"/>
      <c r="H18" s="146"/>
      <c r="I18" s="146"/>
      <c r="J18" s="151"/>
      <c r="K18" s="151"/>
      <c r="L18" s="151"/>
      <c r="M18" s="164"/>
      <c r="N18" s="148"/>
      <c r="O18" s="146"/>
      <c r="P18" s="146"/>
      <c r="Q18" s="146"/>
      <c r="R18" s="146"/>
      <c r="S18" s="146"/>
      <c r="T18" s="146"/>
      <c r="U18" s="146"/>
      <c r="V18" s="146"/>
      <c r="W18" s="146"/>
    </row>
    <row r="19" spans="1:23" s="2" customFormat="1" ht="15.75" customHeight="1">
      <c r="A19" s="235"/>
      <c r="B19" s="146"/>
      <c r="C19" s="150"/>
      <c r="D19" s="150"/>
      <c r="E19" s="150"/>
      <c r="F19" s="145"/>
      <c r="G19" s="146"/>
      <c r="H19" s="146"/>
      <c r="I19" s="146"/>
      <c r="J19" s="151"/>
      <c r="K19" s="151"/>
      <c r="L19" s="151"/>
      <c r="M19" s="164"/>
      <c r="N19" s="148"/>
      <c r="O19" s="146"/>
      <c r="P19" s="146"/>
      <c r="Q19" s="146"/>
      <c r="R19" s="146"/>
      <c r="S19" s="146"/>
      <c r="T19" s="146"/>
      <c r="U19" s="146"/>
      <c r="V19" s="146"/>
      <c r="W19" s="146"/>
    </row>
    <row r="20" spans="1:23" s="2" customFormat="1" ht="15.75" customHeight="1">
      <c r="A20" s="235"/>
      <c r="B20" s="144" t="str">
        <f>'Category (2012)'!B7</f>
        <v>New Measure Development &amp; Review of Unsolicited Proposals</v>
      </c>
      <c r="C20" s="150"/>
      <c r="D20" s="150"/>
      <c r="E20" s="150"/>
      <c r="F20" s="145"/>
      <c r="G20" s="146"/>
      <c r="H20" s="146"/>
      <c r="I20" s="151"/>
      <c r="J20" s="151"/>
      <c r="K20" s="151"/>
      <c r="L20" s="151"/>
      <c r="M20" s="164"/>
      <c r="N20" s="148"/>
      <c r="O20" s="146"/>
      <c r="P20" s="146"/>
      <c r="Q20" s="146"/>
      <c r="R20" s="146"/>
      <c r="S20" s="146"/>
      <c r="T20" s="146"/>
      <c r="U20" s="146"/>
      <c r="V20" s="146"/>
      <c r="W20" s="146"/>
    </row>
    <row r="21" spans="1:23" s="2" customFormat="1" ht="15.75" customHeight="1">
      <c r="A21" s="261" t="s">
        <v>280</v>
      </c>
      <c r="B21" s="242" t="s">
        <v>160</v>
      </c>
      <c r="C21" s="150">
        <f>H21*I21</f>
        <v>24000</v>
      </c>
      <c r="D21" s="150">
        <f>H21*J21</f>
        <v>12000</v>
      </c>
      <c r="E21" s="150">
        <f>SUM(C21:D21)</f>
        <v>36000</v>
      </c>
      <c r="F21" s="150">
        <f>H21*K21</f>
        <v>4000</v>
      </c>
      <c r="G21" s="146"/>
      <c r="H21" s="146">
        <v>2</v>
      </c>
      <c r="I21" s="151">
        <v>12000</v>
      </c>
      <c r="J21" s="151">
        <v>6000</v>
      </c>
      <c r="K21" s="151">
        <v>2000</v>
      </c>
      <c r="L21" s="152">
        <f t="shared" ref="L21:L27" si="14">$L$7/SUM(I21:K21)</f>
        <v>6</v>
      </c>
      <c r="M21" s="153" t="str">
        <f>CONCATENATE("Review New UES (n=",H21," per year @ $",I21/1000,"K each).  Assumes proposers do most development work.  Proposals come to RTF well-crafted.")</f>
        <v>Review New UES (n=2 per year @ $12K each).  Assumes proposers do most development work.  Proposals come to RTF well-crafted.</v>
      </c>
      <c r="N21" s="165"/>
      <c r="O21" s="146"/>
      <c r="P21" s="146"/>
      <c r="Q21" s="146"/>
      <c r="R21" s="146"/>
      <c r="S21" s="146"/>
      <c r="T21" s="146"/>
      <c r="U21" s="146"/>
      <c r="V21" s="146"/>
      <c r="W21" s="146"/>
    </row>
    <row r="22" spans="1:23" s="2" customFormat="1" ht="15.75" customHeight="1">
      <c r="A22" s="261" t="s">
        <v>281</v>
      </c>
      <c r="B22" s="242" t="s">
        <v>159</v>
      </c>
      <c r="C22" s="150">
        <f t="shared" ref="C22:C23" si="15">H22*I22</f>
        <v>30000</v>
      </c>
      <c r="D22" s="150">
        <f t="shared" ref="D22:D23" si="16">H22*J22</f>
        <v>12000</v>
      </c>
      <c r="E22" s="150">
        <f t="shared" ref="E22:E23" si="17">SUM(C22:D22)</f>
        <v>42000</v>
      </c>
      <c r="F22" s="150">
        <f t="shared" ref="F22:F23" si="18">H22*K22</f>
        <v>4000</v>
      </c>
      <c r="G22" s="146"/>
      <c r="H22" s="146">
        <v>2</v>
      </c>
      <c r="I22" s="151">
        <v>15000</v>
      </c>
      <c r="J22" s="151">
        <v>6000</v>
      </c>
      <c r="K22" s="151">
        <v>2000</v>
      </c>
      <c r="L22" s="152">
        <f t="shared" si="14"/>
        <v>5.2173913043478262</v>
      </c>
      <c r="M22" s="153" t="str">
        <f>CONCATENATE("Review New Standard Protocols with Calculators (",H22," per year @ $",I22/1000,"K each).  From formerly deemed measures.  Assumes proposers do most development work.")</f>
        <v>Review New Standard Protocols with Calculators (2 per year @ $15K each).  From formerly deemed measures.  Assumes proposers do most development work.</v>
      </c>
      <c r="N22" s="166"/>
      <c r="O22" s="146"/>
      <c r="P22" s="146"/>
      <c r="Q22" s="146"/>
      <c r="R22" s="146"/>
      <c r="S22" s="146"/>
      <c r="T22" s="146"/>
      <c r="U22" s="146"/>
      <c r="V22" s="146"/>
      <c r="W22" s="146"/>
    </row>
    <row r="23" spans="1:23" s="2" customFormat="1" ht="15.75" customHeight="1">
      <c r="A23" s="234"/>
      <c r="B23" s="154" t="s">
        <v>29</v>
      </c>
      <c r="C23" s="150">
        <f t="shared" si="15"/>
        <v>15000</v>
      </c>
      <c r="D23" s="150">
        <f t="shared" si="16"/>
        <v>5000</v>
      </c>
      <c r="E23" s="150">
        <f t="shared" si="17"/>
        <v>20000</v>
      </c>
      <c r="F23" s="150">
        <f t="shared" si="18"/>
        <v>2000</v>
      </c>
      <c r="G23" s="146"/>
      <c r="H23" s="146">
        <v>1</v>
      </c>
      <c r="I23" s="151">
        <v>15000</v>
      </c>
      <c r="J23" s="151">
        <v>5000</v>
      </c>
      <c r="K23" s="151">
        <v>2000</v>
      </c>
      <c r="L23" s="152">
        <f t="shared" si="14"/>
        <v>5.4545454545454541</v>
      </c>
      <c r="M23" s="153" t="str">
        <f>CONCATENATE("Develop Small &amp; Rural Measures (",H23," @ $",I23/1000,"K each).  Includes analysis to better understand needs around packaging irrigation measures, or training or specification simplification.  Maybe develop schools measures.")</f>
        <v>Develop Small &amp; Rural Measures (1 @ $15K each).  Includes analysis to better understand needs around packaging irrigation measures, or training or specification simplification.  Maybe develop schools measures.</v>
      </c>
      <c r="N23" s="166"/>
      <c r="O23" s="146"/>
      <c r="P23" s="146"/>
      <c r="Q23" s="146"/>
      <c r="R23" s="146"/>
      <c r="S23" s="146"/>
      <c r="T23" s="146"/>
      <c r="U23" s="146"/>
      <c r="V23" s="146"/>
      <c r="W23" s="146"/>
    </row>
    <row r="24" spans="1:23" s="2" customFormat="1" ht="15.75" customHeight="1">
      <c r="A24" s="260" t="s">
        <v>278</v>
      </c>
      <c r="B24" s="242" t="s">
        <v>277</v>
      </c>
      <c r="C24" s="150">
        <f>H24*I24</f>
        <v>0</v>
      </c>
      <c r="D24" s="150">
        <f>H24*J24</f>
        <v>0</v>
      </c>
      <c r="E24" s="150">
        <f>SUM(C24:D24)</f>
        <v>0</v>
      </c>
      <c r="F24" s="150">
        <f>H24*K24</f>
        <v>0</v>
      </c>
      <c r="G24" s="146"/>
      <c r="H24" s="146">
        <v>0</v>
      </c>
      <c r="I24" s="151">
        <v>12000</v>
      </c>
      <c r="J24" s="151">
        <v>12000</v>
      </c>
      <c r="K24" s="151">
        <v>2000</v>
      </c>
      <c r="L24" s="152">
        <f t="shared" si="14"/>
        <v>4.615384615384615</v>
      </c>
      <c r="M24" s="153" t="str">
        <f>CONCATENATE("Review New UES/Protocol (n=",H24," per year @ $",I24/1000,"K each).  Assumes proposers do most development work.  Proposals come to RTF well-crafted.")</f>
        <v>Review New UES/Protocol (n=0 per year @ $12K each).  Assumes proposers do most development work.  Proposals come to RTF well-crafted.</v>
      </c>
      <c r="N24" s="148"/>
      <c r="O24" s="146"/>
      <c r="P24" s="146"/>
      <c r="Q24" s="146"/>
      <c r="R24" s="146"/>
      <c r="S24" s="146"/>
      <c r="T24" s="146"/>
      <c r="U24" s="146"/>
      <c r="V24" s="146"/>
      <c r="W24" s="146"/>
    </row>
    <row r="25" spans="1:23" s="2" customFormat="1" ht="15.75" customHeight="1">
      <c r="A25" s="234"/>
      <c r="B25" s="154" t="s">
        <v>114</v>
      </c>
      <c r="C25" s="150">
        <f>H25*I25</f>
        <v>32000</v>
      </c>
      <c r="D25" s="150">
        <f>H25*J25</f>
        <v>8000</v>
      </c>
      <c r="E25" s="150">
        <f>SUM(C25:D25)</f>
        <v>40000</v>
      </c>
      <c r="F25" s="150">
        <f>H25*K25</f>
        <v>8000</v>
      </c>
      <c r="G25" s="146"/>
      <c r="H25" s="146">
        <v>8</v>
      </c>
      <c r="I25" s="151">
        <v>4000</v>
      </c>
      <c r="J25" s="151">
        <v>1000</v>
      </c>
      <c r="K25" s="151">
        <v>1000</v>
      </c>
      <c r="L25" s="152">
        <f t="shared" si="14"/>
        <v>20</v>
      </c>
      <c r="M25" s="153" t="s">
        <v>23</v>
      </c>
      <c r="N25" s="148"/>
      <c r="O25" s="146"/>
      <c r="P25" s="146"/>
      <c r="Q25" s="146"/>
      <c r="R25" s="146"/>
      <c r="S25" s="146"/>
      <c r="T25" s="146"/>
      <c r="U25" s="146"/>
      <c r="V25" s="146"/>
      <c r="W25" s="146"/>
    </row>
    <row r="26" spans="1:23" s="2" customFormat="1" ht="15.75" customHeight="1">
      <c r="A26" s="235"/>
      <c r="B26" s="156" t="s">
        <v>164</v>
      </c>
      <c r="C26" s="157">
        <f>H26*I26</f>
        <v>0</v>
      </c>
      <c r="D26" s="157">
        <f>H26*J26</f>
        <v>0</v>
      </c>
      <c r="E26" s="157">
        <f>SUM(C26:D26)</f>
        <v>0</v>
      </c>
      <c r="F26" s="157">
        <f>H26*K26</f>
        <v>0</v>
      </c>
      <c r="G26" s="167"/>
      <c r="H26" s="168">
        <v>0</v>
      </c>
      <c r="I26" s="169">
        <v>40000</v>
      </c>
      <c r="J26" s="169">
        <v>6000</v>
      </c>
      <c r="K26" s="169">
        <v>3000</v>
      </c>
      <c r="L26" s="152">
        <f t="shared" si="14"/>
        <v>2.4489795918367347</v>
      </c>
      <c r="M26" s="153" t="str">
        <f>CONCATENATE("Develop New UES (n=",H26," per year @ $",I26/1000,"K each).  Assumes RTF contract for most development work.")</f>
        <v>Develop New UES (n=0 per year @ $40K each).  Assumes RTF contract for most development work.</v>
      </c>
      <c r="N26" s="167"/>
      <c r="O26" s="167"/>
      <c r="P26" s="167"/>
      <c r="Q26" s="167"/>
      <c r="R26" s="167"/>
      <c r="S26" s="167"/>
      <c r="T26" s="167"/>
      <c r="U26" s="146"/>
      <c r="V26" s="146"/>
      <c r="W26" s="146"/>
    </row>
    <row r="27" spans="1:23" s="2" customFormat="1" ht="15.75" customHeight="1">
      <c r="B27" s="156" t="s">
        <v>165</v>
      </c>
      <c r="C27" s="157">
        <f>H27*I27</f>
        <v>0</v>
      </c>
      <c r="D27" s="157">
        <f>H27*J27</f>
        <v>0</v>
      </c>
      <c r="E27" s="157">
        <f>SUM(C27:D27)</f>
        <v>0</v>
      </c>
      <c r="F27" s="157">
        <f>H27*K27</f>
        <v>0</v>
      </c>
      <c r="G27" s="167"/>
      <c r="H27" s="168">
        <v>0</v>
      </c>
      <c r="I27" s="169">
        <v>45000</v>
      </c>
      <c r="J27" s="169">
        <v>6000</v>
      </c>
      <c r="K27" s="169">
        <v>3000</v>
      </c>
      <c r="L27" s="152">
        <f t="shared" si="14"/>
        <v>2.2222222222222223</v>
      </c>
      <c r="M27" s="153" t="str">
        <f>CONCATENATE("Develop New Standarad Protocol (n=",H27," per year @ $",I27/1000,"K each).  Assumes RTF contract for most development work.")</f>
        <v>Develop New Standarad Protocol (n=0 per year @ $45K each).  Assumes RTF contract for most development work.</v>
      </c>
      <c r="N27" s="167"/>
      <c r="O27" s="167"/>
      <c r="P27" s="167"/>
      <c r="Q27" s="167"/>
      <c r="R27" s="167"/>
      <c r="S27" s="167"/>
      <c r="T27" s="167"/>
      <c r="U27" s="146"/>
      <c r="V27" s="146"/>
      <c r="W27" s="146"/>
    </row>
    <row r="28" spans="1:23" s="2" customFormat="1" ht="15.75" customHeight="1">
      <c r="B28" s="144" t="str">
        <f>CONCATENATE("Subtotal ",B20)</f>
        <v>Subtotal New Measure Development &amp; Review of Unsolicited Proposals</v>
      </c>
      <c r="C28" s="163">
        <f>SUM(C21:C25)</f>
        <v>101000</v>
      </c>
      <c r="D28" s="163">
        <f t="shared" ref="D28:F28" si="19">SUM(D21:D25)</f>
        <v>37000</v>
      </c>
      <c r="E28" s="163">
        <f t="shared" si="19"/>
        <v>138000</v>
      </c>
      <c r="F28" s="163">
        <f t="shared" si="19"/>
        <v>18000</v>
      </c>
      <c r="G28" s="146"/>
      <c r="H28" s="146"/>
      <c r="I28" s="146"/>
      <c r="J28" s="146"/>
      <c r="K28" s="146"/>
      <c r="L28" s="146"/>
      <c r="M28" s="153"/>
      <c r="N28" s="148"/>
      <c r="O28" s="146"/>
      <c r="P28" s="146"/>
      <c r="Q28" s="146"/>
      <c r="R28" s="146"/>
      <c r="S28" s="146"/>
      <c r="T28" s="146"/>
      <c r="U28" s="146"/>
      <c r="V28" s="146"/>
      <c r="W28" s="146"/>
    </row>
    <row r="29" spans="1:23" s="2" customFormat="1" ht="15.75" customHeight="1">
      <c r="B29" s="154"/>
      <c r="C29" s="150"/>
      <c r="D29" s="150"/>
      <c r="E29" s="150"/>
      <c r="F29" s="145"/>
      <c r="G29" s="146"/>
      <c r="H29" s="146"/>
      <c r="I29" s="146"/>
      <c r="J29" s="146"/>
      <c r="K29" s="146"/>
      <c r="L29" s="146"/>
      <c r="M29" s="153"/>
      <c r="N29" s="148"/>
      <c r="O29" s="146"/>
      <c r="P29" s="146"/>
      <c r="Q29" s="146"/>
      <c r="R29" s="146"/>
      <c r="S29" s="146"/>
      <c r="T29" s="146"/>
      <c r="U29" s="146"/>
      <c r="V29" s="146"/>
      <c r="W29" s="146"/>
    </row>
    <row r="30" spans="1:23" s="2" customFormat="1" ht="15.75" customHeight="1">
      <c r="B30" s="146"/>
      <c r="C30" s="150"/>
      <c r="D30" s="150"/>
      <c r="E30" s="150"/>
      <c r="F30" s="145"/>
      <c r="G30" s="146"/>
      <c r="H30" s="146"/>
      <c r="I30" s="146"/>
      <c r="J30" s="170"/>
      <c r="K30" s="170"/>
      <c r="L30" s="170"/>
      <c r="M30" s="153"/>
      <c r="N30" s="148"/>
      <c r="O30" s="146"/>
      <c r="P30" s="146"/>
      <c r="Q30" s="146"/>
      <c r="R30" s="146"/>
      <c r="S30" s="146"/>
      <c r="T30" s="146"/>
      <c r="U30" s="146"/>
      <c r="V30" s="146"/>
      <c r="W30" s="146"/>
    </row>
    <row r="31" spans="1:23" ht="15.75">
      <c r="B31" s="144" t="str">
        <f>'Category (2012)'!B8</f>
        <v>Standardization of Technical Analysis</v>
      </c>
      <c r="C31" s="170"/>
      <c r="D31" s="170"/>
      <c r="E31" s="170"/>
      <c r="F31" s="170"/>
      <c r="G31" s="170"/>
      <c r="H31" s="170"/>
      <c r="I31" s="170"/>
      <c r="J31" s="170"/>
      <c r="K31" s="170"/>
      <c r="L31" s="170"/>
      <c r="M31" s="153"/>
      <c r="N31" s="166"/>
      <c r="O31" s="170"/>
      <c r="P31" s="170"/>
      <c r="Q31" s="170"/>
      <c r="R31" s="170"/>
      <c r="S31" s="170"/>
      <c r="T31" s="170"/>
      <c r="U31" s="170"/>
      <c r="V31" s="170"/>
      <c r="W31" s="170"/>
    </row>
    <row r="32" spans="1:23" ht="15.75">
      <c r="B32" s="154" t="s">
        <v>27</v>
      </c>
      <c r="C32" s="150">
        <v>0</v>
      </c>
      <c r="D32" s="160">
        <v>7000</v>
      </c>
      <c r="E32" s="160">
        <f t="shared" ref="E32:E35" si="20">SUM(C32:D32)</f>
        <v>7000</v>
      </c>
      <c r="F32" s="171">
        <v>7000</v>
      </c>
      <c r="G32" s="170"/>
      <c r="H32" s="170"/>
      <c r="I32" s="166"/>
      <c r="J32" s="170"/>
      <c r="K32" s="170"/>
      <c r="L32" s="170"/>
      <c r="M32" s="170"/>
      <c r="N32" s="166"/>
      <c r="O32" s="170"/>
      <c r="P32" s="170"/>
      <c r="Q32" s="170"/>
      <c r="R32" s="170"/>
      <c r="S32" s="170"/>
      <c r="T32" s="170"/>
      <c r="U32" s="170"/>
      <c r="V32" s="170"/>
      <c r="W32" s="170"/>
    </row>
    <row r="33" spans="1:26" ht="15.75">
      <c r="A33" s="50"/>
      <c r="B33" s="154" t="s">
        <v>28</v>
      </c>
      <c r="C33" s="150">
        <v>0</v>
      </c>
      <c r="D33" s="150">
        <v>5000</v>
      </c>
      <c r="E33" s="150">
        <f t="shared" si="20"/>
        <v>5000</v>
      </c>
      <c r="F33" s="172">
        <v>5000</v>
      </c>
      <c r="G33" s="170"/>
      <c r="H33" s="170"/>
      <c r="I33" s="166"/>
      <c r="J33" s="170"/>
      <c r="K33" s="170"/>
      <c r="L33" s="170"/>
      <c r="M33" s="170"/>
      <c r="N33" s="166"/>
      <c r="O33" s="170"/>
      <c r="P33" s="170"/>
      <c r="Q33" s="170"/>
      <c r="R33" s="170"/>
      <c r="S33" s="170"/>
      <c r="T33" s="170"/>
      <c r="U33" s="170"/>
      <c r="V33" s="170"/>
      <c r="W33" s="170"/>
    </row>
    <row r="34" spans="1:26" ht="15.75">
      <c r="A34" s="50"/>
      <c r="B34" s="154" t="s">
        <v>80</v>
      </c>
      <c r="C34" s="150">
        <v>40000</v>
      </c>
      <c r="D34" s="150">
        <v>10000</v>
      </c>
      <c r="E34" s="150">
        <f t="shared" si="20"/>
        <v>50000</v>
      </c>
      <c r="F34" s="172">
        <f t="shared" ref="F34:F36" si="21">1/2*D34</f>
        <v>5000</v>
      </c>
      <c r="G34" s="170"/>
      <c r="H34" s="170"/>
      <c r="I34" s="166"/>
      <c r="J34" s="170"/>
      <c r="K34" s="170"/>
      <c r="L34" s="170"/>
      <c r="M34" s="153"/>
      <c r="N34" s="166"/>
      <c r="O34" s="170"/>
      <c r="P34" s="170"/>
      <c r="Q34" s="170"/>
      <c r="R34" s="170"/>
      <c r="S34" s="170"/>
      <c r="T34" s="170"/>
      <c r="U34" s="170"/>
      <c r="V34" s="170"/>
      <c r="W34" s="170"/>
    </row>
    <row r="35" spans="1:26" ht="15.75">
      <c r="A35" s="50"/>
      <c r="B35" s="154" t="s">
        <v>81</v>
      </c>
      <c r="C35" s="150">
        <v>60000</v>
      </c>
      <c r="D35" s="150">
        <v>10000</v>
      </c>
      <c r="E35" s="150">
        <f t="shared" si="20"/>
        <v>70000</v>
      </c>
      <c r="F35" s="172">
        <f t="shared" si="21"/>
        <v>5000</v>
      </c>
      <c r="G35" s="170"/>
      <c r="H35" s="170"/>
      <c r="I35" s="170"/>
      <c r="J35" s="170"/>
      <c r="K35" s="170"/>
      <c r="L35" s="170"/>
      <c r="M35" s="153" t="s">
        <v>263</v>
      </c>
      <c r="N35" s="166"/>
      <c r="O35" s="170"/>
      <c r="P35" s="170"/>
      <c r="Q35" s="170"/>
      <c r="R35" s="170"/>
      <c r="S35" s="170"/>
      <c r="T35" s="170"/>
      <c r="U35" s="170"/>
      <c r="V35" s="170"/>
      <c r="W35" s="170"/>
    </row>
    <row r="36" spans="1:26" ht="15.75">
      <c r="A36" s="50"/>
      <c r="B36" s="154" t="s">
        <v>31</v>
      </c>
      <c r="C36" s="150">
        <v>10000</v>
      </c>
      <c r="D36" s="150">
        <v>5000</v>
      </c>
      <c r="E36" s="150">
        <f t="shared" ref="E36" si="22">SUM(C36:D36)</f>
        <v>15000</v>
      </c>
      <c r="F36" s="172">
        <f t="shared" si="21"/>
        <v>2500</v>
      </c>
      <c r="G36" s="170"/>
      <c r="H36" s="170"/>
      <c r="I36" s="170"/>
      <c r="J36" s="170"/>
      <c r="K36" s="170"/>
      <c r="L36" s="170"/>
      <c r="M36" s="153"/>
      <c r="N36" s="166"/>
      <c r="O36" s="170"/>
      <c r="P36" s="170"/>
      <c r="Q36" s="170"/>
      <c r="R36" s="170"/>
      <c r="S36" s="170"/>
      <c r="T36" s="170"/>
      <c r="U36" s="170"/>
      <c r="V36" s="170"/>
      <c r="W36" s="170"/>
    </row>
    <row r="37" spans="1:26" ht="15.75">
      <c r="A37" s="50"/>
      <c r="B37" s="154" t="s">
        <v>261</v>
      </c>
      <c r="C37" s="150">
        <f>H37*I37</f>
        <v>24000</v>
      </c>
      <c r="D37" s="150">
        <v>5000</v>
      </c>
      <c r="E37" s="150">
        <f>SUM(C37:D37)</f>
        <v>29000</v>
      </c>
      <c r="F37" s="172">
        <f>H37*K37</f>
        <v>0</v>
      </c>
      <c r="G37" s="170"/>
      <c r="H37" s="146">
        <v>20</v>
      </c>
      <c r="I37" s="151">
        <v>1200</v>
      </c>
      <c r="J37" s="151">
        <v>200</v>
      </c>
      <c r="K37" s="151"/>
      <c r="L37" s="170"/>
      <c r="M37" s="153" t="s">
        <v>262</v>
      </c>
      <c r="N37" s="166"/>
      <c r="O37" s="170"/>
      <c r="P37" s="170"/>
      <c r="Q37" s="170"/>
      <c r="R37" s="170"/>
      <c r="S37" s="170"/>
      <c r="T37" s="170"/>
      <c r="U37" s="170"/>
      <c r="V37" s="170"/>
      <c r="W37" s="170"/>
    </row>
    <row r="38" spans="1:26" ht="15.75">
      <c r="A38" s="50"/>
      <c r="B38" s="156" t="s">
        <v>82</v>
      </c>
      <c r="C38" s="157">
        <v>0</v>
      </c>
      <c r="D38" s="157">
        <v>0</v>
      </c>
      <c r="E38" s="157">
        <f>SUM(C38:D38)</f>
        <v>0</v>
      </c>
      <c r="F38" s="173">
        <f>1/2*D38</f>
        <v>0</v>
      </c>
      <c r="G38" s="217"/>
      <c r="H38" s="217"/>
      <c r="I38" s="217"/>
      <c r="J38" s="217"/>
      <c r="K38" s="217"/>
      <c r="L38" s="217"/>
      <c r="M38" s="218" t="s">
        <v>161</v>
      </c>
      <c r="N38" s="217"/>
      <c r="O38" s="217"/>
      <c r="P38" s="217"/>
      <c r="Q38" s="217"/>
      <c r="R38" s="217"/>
      <c r="S38" s="217"/>
      <c r="T38" s="217"/>
      <c r="U38" s="217"/>
      <c r="V38" s="217"/>
      <c r="W38" s="217"/>
    </row>
    <row r="39" spans="1:26" ht="15.75">
      <c r="A39" s="50"/>
      <c r="B39" s="156" t="s">
        <v>78</v>
      </c>
      <c r="C39" s="157">
        <v>0</v>
      </c>
      <c r="D39" s="157">
        <v>0</v>
      </c>
      <c r="E39" s="157">
        <v>0</v>
      </c>
      <c r="F39" s="173">
        <v>0</v>
      </c>
      <c r="G39" s="170"/>
      <c r="H39" s="170"/>
      <c r="I39" s="166"/>
      <c r="J39" s="170"/>
      <c r="K39" s="170"/>
      <c r="L39" s="170"/>
      <c r="M39" s="153" t="s">
        <v>162</v>
      </c>
      <c r="N39" s="166"/>
      <c r="O39" s="170"/>
      <c r="P39" s="170"/>
      <c r="Q39" s="170"/>
      <c r="R39" s="170"/>
      <c r="S39" s="170"/>
      <c r="T39" s="170"/>
      <c r="U39" s="170"/>
      <c r="V39" s="170"/>
      <c r="W39" s="170"/>
    </row>
    <row r="40" spans="1:26" ht="15.75">
      <c r="A40" s="50"/>
      <c r="B40" s="156" t="s">
        <v>79</v>
      </c>
      <c r="C40" s="157">
        <v>0</v>
      </c>
      <c r="D40" s="157">
        <v>0</v>
      </c>
      <c r="E40" s="157">
        <v>0</v>
      </c>
      <c r="F40" s="173">
        <v>0</v>
      </c>
      <c r="G40" s="170"/>
      <c r="H40" s="170"/>
      <c r="I40" s="166"/>
      <c r="J40" s="170"/>
      <c r="K40" s="170"/>
      <c r="L40" s="170"/>
      <c r="M40" s="153" t="s">
        <v>163</v>
      </c>
      <c r="N40" s="166"/>
      <c r="O40" s="170"/>
      <c r="P40" s="170"/>
      <c r="Q40" s="170"/>
      <c r="R40" s="170"/>
      <c r="S40" s="170"/>
      <c r="T40" s="170"/>
      <c r="U40" s="170"/>
      <c r="V40" s="170"/>
      <c r="W40" s="170"/>
    </row>
    <row r="41" spans="1:26" ht="15.75">
      <c r="A41" s="50"/>
      <c r="B41" s="156" t="s">
        <v>109</v>
      </c>
      <c r="C41" s="157">
        <v>0</v>
      </c>
      <c r="D41" s="157">
        <v>0</v>
      </c>
      <c r="E41" s="157">
        <v>0</v>
      </c>
      <c r="F41" s="173">
        <v>0</v>
      </c>
      <c r="G41" s="170"/>
      <c r="H41" s="170"/>
      <c r="I41" s="166"/>
      <c r="J41" s="170"/>
      <c r="K41" s="170"/>
      <c r="L41" s="170"/>
      <c r="M41" s="153" t="s">
        <v>163</v>
      </c>
      <c r="N41" s="166"/>
      <c r="O41" s="170"/>
      <c r="P41" s="170"/>
      <c r="Q41" s="170"/>
      <c r="R41" s="170"/>
      <c r="S41" s="170"/>
      <c r="T41" s="170"/>
      <c r="U41" s="170"/>
      <c r="V41" s="170"/>
      <c r="W41" s="170"/>
    </row>
    <row r="42" spans="1:26" ht="15.75">
      <c r="A42" s="50"/>
      <c r="B42" s="144" t="str">
        <f>CONCATENATE("Subtotal ",B31)</f>
        <v>Subtotal Standardization of Technical Analysis</v>
      </c>
      <c r="C42" s="163">
        <f>SUM(C32:C41)</f>
        <v>134000</v>
      </c>
      <c r="D42" s="163">
        <f t="shared" ref="D42:F42" si="23">SUM(D32:D41)</f>
        <v>42000</v>
      </c>
      <c r="E42" s="163">
        <f t="shared" si="23"/>
        <v>176000</v>
      </c>
      <c r="F42" s="163">
        <f t="shared" si="23"/>
        <v>24500</v>
      </c>
      <c r="G42" s="170"/>
      <c r="H42" s="170"/>
      <c r="I42" s="170"/>
      <c r="J42" s="170"/>
      <c r="K42" s="170"/>
      <c r="L42" s="170"/>
      <c r="M42" s="153"/>
      <c r="N42" s="166"/>
      <c r="O42" s="170"/>
      <c r="P42" s="170"/>
      <c r="Q42" s="170"/>
      <c r="R42" s="170"/>
      <c r="S42" s="170"/>
      <c r="T42" s="170"/>
      <c r="U42" s="170"/>
      <c r="V42" s="170"/>
      <c r="W42" s="170"/>
    </row>
    <row r="43" spans="1:26">
      <c r="A43" s="50"/>
      <c r="M43" s="8"/>
    </row>
    <row r="44" spans="1:26">
      <c r="A44" s="50"/>
      <c r="C44" s="3"/>
      <c r="D44" s="3"/>
      <c r="E44" s="3"/>
      <c r="M44" s="8"/>
    </row>
    <row r="45" spans="1:26" ht="15.75">
      <c r="A45" s="50"/>
      <c r="B45" s="183" t="str">
        <f>'Category (2012)'!B9</f>
        <v>Tool Development</v>
      </c>
      <c r="C45" s="184"/>
      <c r="D45" s="184"/>
      <c r="E45" s="184"/>
      <c r="F45" s="185"/>
      <c r="G45" s="185"/>
      <c r="H45" s="185"/>
      <c r="I45" s="185"/>
      <c r="J45" s="185"/>
      <c r="K45" s="185"/>
      <c r="L45" s="185"/>
      <c r="M45" s="186"/>
      <c r="N45" s="187"/>
      <c r="O45" s="185"/>
      <c r="P45" s="185"/>
      <c r="Q45" s="185"/>
      <c r="R45" s="185"/>
      <c r="S45" s="185"/>
      <c r="T45" s="185"/>
      <c r="U45" s="185"/>
      <c r="V45" s="185"/>
      <c r="W45" s="185"/>
      <c r="X45" s="185"/>
      <c r="Y45" s="185"/>
      <c r="Z45" s="185"/>
    </row>
    <row r="46" spans="1:26" ht="15.75">
      <c r="A46" s="50"/>
      <c r="B46" s="188" t="s">
        <v>102</v>
      </c>
      <c r="C46" s="184">
        <v>6000</v>
      </c>
      <c r="D46" s="184">
        <v>6000</v>
      </c>
      <c r="E46" s="184">
        <f>SUM(C46:D46)</f>
        <v>12000</v>
      </c>
      <c r="F46" s="184">
        <v>1000</v>
      </c>
      <c r="G46" s="185"/>
      <c r="H46" s="185"/>
      <c r="I46" s="187"/>
      <c r="J46" s="187"/>
      <c r="K46" s="187"/>
      <c r="L46" s="187"/>
      <c r="M46" s="186" t="s">
        <v>1</v>
      </c>
      <c r="N46" s="187"/>
      <c r="O46" s="185"/>
      <c r="P46" s="185"/>
      <c r="Q46" s="185"/>
      <c r="R46" s="185"/>
      <c r="S46" s="185"/>
      <c r="T46" s="185"/>
      <c r="U46" s="185"/>
      <c r="V46" s="185"/>
      <c r="W46" s="185"/>
      <c r="X46" s="185"/>
      <c r="Y46" s="185"/>
      <c r="Z46" s="185"/>
    </row>
    <row r="47" spans="1:26" ht="15.75">
      <c r="A47" s="50"/>
      <c r="B47" s="188" t="s">
        <v>103</v>
      </c>
      <c r="C47" s="184">
        <v>30000</v>
      </c>
      <c r="D47" s="184">
        <v>6000</v>
      </c>
      <c r="E47" s="184">
        <f t="shared" ref="E47:E53" si="24">SUM(C47:D47)</f>
        <v>36000</v>
      </c>
      <c r="F47" s="184">
        <v>3000</v>
      </c>
      <c r="G47" s="185"/>
      <c r="H47" s="185"/>
      <c r="I47" s="185"/>
      <c r="J47" s="185"/>
      <c r="K47" s="185"/>
      <c r="L47" s="185"/>
      <c r="M47" s="186" t="s">
        <v>176</v>
      </c>
      <c r="N47" s="187"/>
      <c r="O47" s="185"/>
      <c r="P47" s="185"/>
      <c r="Q47" s="185"/>
      <c r="R47" s="185"/>
      <c r="S47" s="185"/>
      <c r="T47" s="185"/>
      <c r="U47" s="185"/>
      <c r="V47" s="185"/>
      <c r="W47" s="185"/>
      <c r="X47" s="185"/>
      <c r="Y47" s="185"/>
      <c r="Z47" s="185"/>
    </row>
    <row r="48" spans="1:26" ht="15.75">
      <c r="A48" s="50"/>
      <c r="B48" s="188" t="s">
        <v>111</v>
      </c>
      <c r="C48" s="184">
        <v>0</v>
      </c>
      <c r="D48" s="184">
        <v>6000</v>
      </c>
      <c r="E48" s="184">
        <f t="shared" si="24"/>
        <v>6000</v>
      </c>
      <c r="F48" s="184">
        <v>3000</v>
      </c>
      <c r="G48" s="185"/>
      <c r="H48" s="185"/>
      <c r="I48" s="189"/>
      <c r="J48" s="189"/>
      <c r="K48" s="189"/>
      <c r="L48" s="189"/>
      <c r="M48" s="186" t="s">
        <v>171</v>
      </c>
      <c r="N48" s="187"/>
      <c r="O48" s="185"/>
      <c r="P48" s="185"/>
      <c r="Q48" s="185"/>
      <c r="R48" s="185"/>
      <c r="S48" s="185"/>
      <c r="T48" s="185"/>
      <c r="U48" s="185"/>
      <c r="V48" s="185"/>
      <c r="W48" s="185"/>
      <c r="X48" s="185"/>
      <c r="Y48" s="185"/>
      <c r="Z48" s="185"/>
    </row>
    <row r="49" spans="1:26" ht="15.75">
      <c r="A49" s="50"/>
      <c r="B49" s="188" t="s">
        <v>105</v>
      </c>
      <c r="C49" s="184">
        <v>0</v>
      </c>
      <c r="D49" s="184">
        <v>6000</v>
      </c>
      <c r="E49" s="184">
        <f t="shared" si="24"/>
        <v>6000</v>
      </c>
      <c r="F49" s="184">
        <v>3000</v>
      </c>
      <c r="G49" s="185"/>
      <c r="H49" s="185"/>
      <c r="I49" s="189"/>
      <c r="J49" s="189"/>
      <c r="K49" s="189"/>
      <c r="L49" s="189"/>
      <c r="M49" s="186" t="s">
        <v>171</v>
      </c>
      <c r="N49" s="187"/>
      <c r="O49" s="185"/>
      <c r="P49" s="185"/>
      <c r="Q49" s="185"/>
      <c r="R49" s="185"/>
      <c r="S49" s="185"/>
      <c r="T49" s="185"/>
      <c r="U49" s="185"/>
      <c r="V49" s="185"/>
      <c r="W49" s="185"/>
      <c r="X49" s="185"/>
      <c r="Y49" s="185"/>
      <c r="Z49" s="185"/>
    </row>
    <row r="50" spans="1:26" ht="15.75">
      <c r="A50" s="50"/>
      <c r="B50" s="188" t="s">
        <v>106</v>
      </c>
      <c r="C50" s="184">
        <v>0</v>
      </c>
      <c r="D50" s="184">
        <v>6000</v>
      </c>
      <c r="E50" s="184">
        <f t="shared" si="24"/>
        <v>6000</v>
      </c>
      <c r="F50" s="184">
        <v>0</v>
      </c>
      <c r="G50" s="185"/>
      <c r="H50" s="185"/>
      <c r="I50" s="189"/>
      <c r="J50" s="185"/>
      <c r="K50" s="185"/>
      <c r="L50" s="185"/>
      <c r="M50" s="186" t="s">
        <v>173</v>
      </c>
      <c r="N50" s="187"/>
      <c r="O50" s="185"/>
      <c r="P50" s="185"/>
      <c r="Q50" s="185"/>
      <c r="R50" s="185"/>
      <c r="S50" s="185"/>
      <c r="T50" s="185"/>
      <c r="U50" s="185"/>
      <c r="V50" s="185"/>
      <c r="W50" s="185"/>
      <c r="X50" s="185"/>
      <c r="Y50" s="185"/>
      <c r="Z50" s="185"/>
    </row>
    <row r="51" spans="1:26" ht="15.75">
      <c r="A51" s="50"/>
      <c r="B51" s="188" t="s">
        <v>107</v>
      </c>
      <c r="C51" s="184">
        <v>30000</v>
      </c>
      <c r="D51" s="184">
        <v>6000</v>
      </c>
      <c r="E51" s="184">
        <f t="shared" si="24"/>
        <v>36000</v>
      </c>
      <c r="F51" s="184">
        <v>0</v>
      </c>
      <c r="G51" s="185"/>
      <c r="H51" s="185"/>
      <c r="I51" s="185"/>
      <c r="J51" s="185"/>
      <c r="K51" s="185"/>
      <c r="L51" s="185"/>
      <c r="M51" s="186" t="s">
        <v>174</v>
      </c>
      <c r="N51" s="187"/>
      <c r="O51" s="185"/>
      <c r="P51" s="185"/>
      <c r="Q51" s="185"/>
      <c r="R51" s="185"/>
      <c r="S51" s="185"/>
      <c r="T51" s="185"/>
      <c r="U51" s="185"/>
      <c r="V51" s="185"/>
      <c r="W51" s="185"/>
      <c r="X51" s="185"/>
      <c r="Y51" s="185"/>
      <c r="Z51" s="185"/>
    </row>
    <row r="52" spans="1:26" ht="15.75">
      <c r="A52" s="50"/>
      <c r="B52" s="188" t="s">
        <v>172</v>
      </c>
      <c r="C52" s="184">
        <v>5000</v>
      </c>
      <c r="D52" s="184">
        <v>5000</v>
      </c>
      <c r="E52" s="184">
        <f t="shared" si="24"/>
        <v>10000</v>
      </c>
      <c r="F52" s="184">
        <v>0</v>
      </c>
      <c r="G52" s="185"/>
      <c r="H52" s="185"/>
      <c r="I52" s="187"/>
      <c r="J52" s="185"/>
      <c r="K52" s="185"/>
      <c r="L52" s="185"/>
      <c r="M52" s="186" t="s">
        <v>175</v>
      </c>
      <c r="N52" s="187"/>
      <c r="O52" s="185"/>
      <c r="P52" s="185"/>
      <c r="Q52" s="185"/>
      <c r="R52" s="185"/>
      <c r="S52" s="185"/>
      <c r="T52" s="185"/>
      <c r="U52" s="185"/>
      <c r="V52" s="185"/>
      <c r="W52" s="185"/>
      <c r="X52" s="185"/>
      <c r="Y52" s="185"/>
      <c r="Z52" s="185"/>
    </row>
    <row r="53" spans="1:26" ht="15.75">
      <c r="A53" s="50"/>
      <c r="B53" s="188" t="s">
        <v>40</v>
      </c>
      <c r="C53" s="184">
        <v>5000</v>
      </c>
      <c r="D53" s="184">
        <v>5000</v>
      </c>
      <c r="E53" s="184">
        <f t="shared" si="24"/>
        <v>10000</v>
      </c>
      <c r="F53" s="184">
        <v>0</v>
      </c>
      <c r="G53" s="185"/>
      <c r="H53" s="185"/>
      <c r="I53" s="187"/>
      <c r="J53" s="185"/>
      <c r="K53" s="185"/>
      <c r="L53" s="185"/>
      <c r="M53" s="186" t="s">
        <v>177</v>
      </c>
      <c r="N53" s="187"/>
      <c r="O53" s="185"/>
      <c r="P53" s="185"/>
      <c r="Q53" s="185"/>
      <c r="R53" s="185"/>
      <c r="S53" s="185"/>
      <c r="T53" s="185"/>
      <c r="U53" s="185"/>
      <c r="V53" s="185"/>
      <c r="W53" s="185"/>
      <c r="X53" s="185"/>
      <c r="Y53" s="185"/>
      <c r="Z53" s="185"/>
    </row>
    <row r="54" spans="1:26" ht="15.75">
      <c r="A54" s="50"/>
      <c r="B54" s="188" t="s">
        <v>41</v>
      </c>
      <c r="C54" s="184">
        <v>10000</v>
      </c>
      <c r="D54" s="184">
        <v>2000</v>
      </c>
      <c r="E54" s="184">
        <f t="shared" ref="E54" si="25">SUM(C54:D54)</f>
        <v>12000</v>
      </c>
      <c r="F54" s="184">
        <v>2000</v>
      </c>
      <c r="G54" s="185"/>
      <c r="H54" s="185"/>
      <c r="I54" s="187"/>
      <c r="J54" s="185"/>
      <c r="K54" s="185"/>
      <c r="L54" s="185"/>
      <c r="M54" s="186"/>
      <c r="N54" s="187"/>
      <c r="O54" s="185"/>
      <c r="P54" s="185"/>
      <c r="Q54" s="185"/>
      <c r="R54" s="185"/>
      <c r="S54" s="185"/>
      <c r="T54" s="185"/>
      <c r="U54" s="185"/>
      <c r="V54" s="185"/>
      <c r="W54" s="185"/>
      <c r="X54" s="185"/>
      <c r="Y54" s="185"/>
      <c r="Z54" s="185"/>
    </row>
    <row r="55" spans="1:26" s="50" customFormat="1" ht="15.75">
      <c r="B55" s="190" t="s">
        <v>110</v>
      </c>
      <c r="C55" s="191">
        <v>0</v>
      </c>
      <c r="D55" s="191">
        <v>0</v>
      </c>
      <c r="E55" s="191">
        <v>0</v>
      </c>
      <c r="F55" s="191">
        <v>0</v>
      </c>
      <c r="G55" s="185"/>
      <c r="H55" s="185"/>
      <c r="I55" s="187"/>
      <c r="J55" s="187"/>
      <c r="K55" s="187"/>
      <c r="L55" s="187"/>
      <c r="M55" s="186" t="s">
        <v>170</v>
      </c>
      <c r="N55" s="187"/>
      <c r="O55" s="185"/>
      <c r="P55" s="185"/>
      <c r="Q55" s="185"/>
      <c r="R55" s="185"/>
      <c r="S55" s="185"/>
      <c r="T55" s="185"/>
      <c r="U55" s="185"/>
      <c r="V55" s="185"/>
      <c r="W55" s="185"/>
      <c r="X55" s="185"/>
      <c r="Y55" s="185"/>
      <c r="Z55" s="185"/>
    </row>
    <row r="56" spans="1:26" s="50" customFormat="1" ht="15.75">
      <c r="B56" s="190" t="s">
        <v>104</v>
      </c>
      <c r="C56" s="191">
        <v>0</v>
      </c>
      <c r="D56" s="191">
        <v>0</v>
      </c>
      <c r="E56" s="191">
        <v>0</v>
      </c>
      <c r="F56" s="191">
        <v>0</v>
      </c>
      <c r="G56" s="192"/>
      <c r="H56" s="192"/>
      <c r="I56" s="192"/>
      <c r="J56" s="192"/>
      <c r="K56" s="192"/>
      <c r="L56" s="192"/>
      <c r="M56" s="186" t="s">
        <v>170</v>
      </c>
      <c r="N56" s="187"/>
      <c r="O56" s="185"/>
      <c r="P56" s="185"/>
      <c r="Q56" s="185"/>
      <c r="R56" s="185"/>
      <c r="S56" s="185"/>
      <c r="T56" s="185"/>
      <c r="U56" s="185"/>
      <c r="V56" s="185"/>
      <c r="W56" s="185"/>
      <c r="X56" s="185"/>
      <c r="Y56" s="185"/>
      <c r="Z56" s="185"/>
    </row>
    <row r="57" spans="1:26" ht="15.75">
      <c r="A57" s="50"/>
      <c r="B57" s="183" t="str">
        <f>CONCATENATE("Subtotal ",B45)</f>
        <v>Subtotal Tool Development</v>
      </c>
      <c r="C57" s="193">
        <f>SUM(C46:C56)</f>
        <v>86000</v>
      </c>
      <c r="D57" s="193">
        <f t="shared" ref="D57:F57" si="26">SUM(D46:D56)</f>
        <v>48000</v>
      </c>
      <c r="E57" s="193">
        <f t="shared" si="26"/>
        <v>134000</v>
      </c>
      <c r="F57" s="193">
        <f t="shared" si="26"/>
        <v>12000</v>
      </c>
      <c r="G57" s="185"/>
      <c r="H57" s="185"/>
      <c r="I57" s="185"/>
      <c r="J57" s="185"/>
      <c r="K57" s="185"/>
      <c r="L57" s="185"/>
      <c r="M57" s="186"/>
      <c r="N57" s="187"/>
      <c r="O57" s="185"/>
      <c r="P57" s="185"/>
      <c r="Q57" s="185"/>
      <c r="R57" s="185"/>
      <c r="S57" s="185"/>
      <c r="T57" s="185"/>
      <c r="U57" s="185"/>
      <c r="V57" s="185"/>
      <c r="W57" s="185"/>
      <c r="X57" s="185"/>
      <c r="Y57" s="185"/>
      <c r="Z57" s="185"/>
    </row>
    <row r="58" spans="1:26" ht="15.75">
      <c r="A58" s="50"/>
      <c r="B58" s="188"/>
      <c r="C58" s="184"/>
      <c r="D58" s="184"/>
      <c r="E58" s="184"/>
      <c r="F58" s="185"/>
      <c r="G58" s="185"/>
      <c r="H58" s="185"/>
      <c r="I58" s="185"/>
      <c r="J58" s="185"/>
      <c r="K58" s="185"/>
      <c r="L58" s="185"/>
      <c r="M58" s="186"/>
      <c r="N58" s="187"/>
      <c r="O58" s="185"/>
      <c r="P58" s="185"/>
      <c r="Q58" s="185"/>
      <c r="R58" s="185"/>
      <c r="S58" s="185"/>
      <c r="T58" s="185"/>
      <c r="U58" s="185"/>
      <c r="V58" s="185"/>
      <c r="W58" s="185"/>
      <c r="X58" s="185"/>
      <c r="Y58" s="185"/>
      <c r="Z58" s="185"/>
    </row>
    <row r="59" spans="1:26" ht="15.75">
      <c r="A59" s="50"/>
      <c r="B59" s="188"/>
      <c r="C59" s="184"/>
      <c r="D59" s="184"/>
      <c r="E59" s="184"/>
      <c r="F59" s="185"/>
      <c r="G59" s="185"/>
      <c r="H59" s="185"/>
      <c r="I59" s="185"/>
      <c r="J59" s="185"/>
      <c r="K59" s="185"/>
      <c r="L59" s="185"/>
      <c r="M59" s="186"/>
      <c r="N59" s="187"/>
      <c r="O59" s="185"/>
      <c r="P59" s="185"/>
      <c r="Q59" s="185"/>
      <c r="R59" s="185"/>
      <c r="S59" s="185"/>
      <c r="T59" s="185"/>
      <c r="U59" s="185"/>
      <c r="V59" s="185"/>
      <c r="W59" s="185"/>
      <c r="X59" s="185"/>
      <c r="Y59" s="185"/>
      <c r="Z59" s="185"/>
    </row>
    <row r="60" spans="1:26" ht="15.75">
      <c r="A60" s="50"/>
      <c r="B60" s="183" t="str">
        <f>'Category (2012)'!B10</f>
        <v>Research Projects &amp; Data Development</v>
      </c>
      <c r="C60" s="184"/>
      <c r="D60" s="184"/>
      <c r="E60" s="184"/>
      <c r="F60" s="185"/>
      <c r="G60" s="185"/>
      <c r="H60" s="185"/>
      <c r="I60" s="185"/>
      <c r="J60" s="185"/>
      <c r="K60" s="185"/>
      <c r="L60" s="185"/>
      <c r="M60" s="186"/>
      <c r="N60" s="187"/>
      <c r="O60" s="185"/>
      <c r="P60" s="185"/>
      <c r="Q60" s="185"/>
      <c r="R60" s="185"/>
      <c r="S60" s="185"/>
      <c r="T60" s="185"/>
      <c r="U60" s="185"/>
      <c r="V60" s="185"/>
      <c r="W60" s="185"/>
      <c r="X60" s="185"/>
      <c r="Y60" s="185"/>
      <c r="Z60" s="185"/>
    </row>
    <row r="61" spans="1:26" ht="15.75">
      <c r="A61" s="50"/>
      <c r="B61" s="188" t="s">
        <v>100</v>
      </c>
      <c r="C61" s="184">
        <v>50000</v>
      </c>
      <c r="D61" s="184">
        <v>12000</v>
      </c>
      <c r="E61" s="184">
        <f>SUM(C61:D61)</f>
        <v>62000</v>
      </c>
      <c r="F61" s="194">
        <f>1/2*D61</f>
        <v>6000</v>
      </c>
      <c r="G61" s="185"/>
      <c r="H61" s="185"/>
      <c r="I61" s="185"/>
      <c r="J61" s="185"/>
      <c r="K61" s="185"/>
      <c r="L61" s="185"/>
      <c r="M61" s="186"/>
      <c r="N61" s="187"/>
      <c r="O61" s="185"/>
      <c r="P61" s="185"/>
      <c r="Q61" s="185"/>
      <c r="R61" s="185"/>
      <c r="S61" s="185"/>
      <c r="T61" s="185"/>
      <c r="U61" s="185"/>
      <c r="V61" s="185"/>
      <c r="W61" s="185"/>
      <c r="X61" s="185"/>
      <c r="Y61" s="185"/>
      <c r="Z61" s="185"/>
    </row>
    <row r="62" spans="1:26" ht="15.75">
      <c r="A62" s="234"/>
      <c r="B62" s="188" t="s">
        <v>121</v>
      </c>
      <c r="C62" s="184">
        <v>50000</v>
      </c>
      <c r="D62" s="184">
        <v>12000</v>
      </c>
      <c r="E62" s="184">
        <f t="shared" ref="E62:E64" si="27">SUM(C62:D62)</f>
        <v>62000</v>
      </c>
      <c r="F62" s="194">
        <f t="shared" ref="F62:F64" si="28">1/2*D62</f>
        <v>6000</v>
      </c>
      <c r="G62" s="185"/>
      <c r="H62" s="185"/>
      <c r="I62" s="187"/>
      <c r="J62" s="185"/>
      <c r="K62" s="185"/>
      <c r="L62" s="185"/>
      <c r="M62" s="186"/>
      <c r="N62" s="187"/>
      <c r="O62" s="185"/>
      <c r="P62" s="185"/>
      <c r="Q62" s="185"/>
      <c r="R62" s="185"/>
      <c r="S62" s="185"/>
      <c r="T62" s="185"/>
      <c r="U62" s="185"/>
      <c r="V62" s="185"/>
      <c r="W62" s="185"/>
      <c r="X62" s="185"/>
      <c r="Y62" s="185"/>
      <c r="Z62" s="185"/>
    </row>
    <row r="63" spans="1:26" ht="15.75">
      <c r="A63" s="50"/>
      <c r="B63" s="188" t="s">
        <v>30</v>
      </c>
      <c r="C63" s="184">
        <v>30000</v>
      </c>
      <c r="D63" s="184">
        <v>12000</v>
      </c>
      <c r="E63" s="184">
        <f t="shared" si="27"/>
        <v>42000</v>
      </c>
      <c r="F63" s="194">
        <f t="shared" si="28"/>
        <v>6000</v>
      </c>
      <c r="G63" s="185"/>
      <c r="H63" s="185"/>
      <c r="I63" s="187"/>
      <c r="J63" s="187"/>
      <c r="K63" s="187"/>
      <c r="L63" s="187"/>
      <c r="M63" s="195"/>
      <c r="N63" s="187"/>
      <c r="O63" s="185"/>
      <c r="P63" s="185"/>
      <c r="Q63" s="185"/>
      <c r="R63" s="185"/>
      <c r="S63" s="185"/>
      <c r="T63" s="185"/>
      <c r="U63" s="185"/>
      <c r="V63" s="185"/>
      <c r="W63" s="185"/>
      <c r="X63" s="185"/>
      <c r="Y63" s="185"/>
      <c r="Z63" s="185"/>
    </row>
    <row r="64" spans="1:26" ht="15.75">
      <c r="A64" s="50"/>
      <c r="B64" s="188" t="s">
        <v>23</v>
      </c>
      <c r="C64" s="184">
        <v>50000</v>
      </c>
      <c r="D64" s="184">
        <v>12000</v>
      </c>
      <c r="E64" s="184">
        <f t="shared" si="27"/>
        <v>62000</v>
      </c>
      <c r="F64" s="194">
        <f t="shared" si="28"/>
        <v>6000</v>
      </c>
      <c r="G64" s="185"/>
      <c r="H64" s="185"/>
      <c r="I64" s="185"/>
      <c r="J64" s="185"/>
      <c r="K64" s="185"/>
      <c r="L64" s="185"/>
      <c r="M64" s="186"/>
      <c r="N64" s="187"/>
      <c r="O64" s="185"/>
      <c r="P64" s="185"/>
      <c r="Q64" s="185"/>
      <c r="R64" s="185"/>
      <c r="S64" s="185"/>
      <c r="T64" s="185"/>
      <c r="U64" s="185"/>
      <c r="V64" s="185"/>
      <c r="W64" s="185"/>
      <c r="X64" s="185"/>
      <c r="Y64" s="185"/>
      <c r="Z64" s="185"/>
    </row>
    <row r="65" spans="1:26" ht="15.75">
      <c r="A65" s="50"/>
      <c r="B65" s="183" t="str">
        <f>CONCATENATE("Subtotal ",B60)</f>
        <v>Subtotal Research Projects &amp; Data Development</v>
      </c>
      <c r="C65" s="193">
        <f>SUM(C61:C64)</f>
        <v>180000</v>
      </c>
      <c r="D65" s="193">
        <f>SUM(D61:D64)</f>
        <v>48000</v>
      </c>
      <c r="E65" s="193">
        <f>SUM(E61:E64)</f>
        <v>228000</v>
      </c>
      <c r="F65" s="193">
        <f>SUM(F61:F64)</f>
        <v>24000</v>
      </c>
      <c r="G65" s="185"/>
      <c r="H65" s="185"/>
      <c r="I65" s="185"/>
      <c r="J65" s="185"/>
      <c r="K65" s="185"/>
      <c r="L65" s="185"/>
      <c r="M65" s="186"/>
      <c r="N65" s="187"/>
      <c r="O65" s="185"/>
      <c r="P65" s="185"/>
      <c r="Q65" s="185"/>
      <c r="R65" s="185"/>
      <c r="S65" s="185"/>
      <c r="T65" s="185"/>
      <c r="U65" s="185"/>
      <c r="V65" s="185"/>
      <c r="W65" s="185"/>
      <c r="X65" s="185"/>
      <c r="Y65" s="185"/>
      <c r="Z65" s="185"/>
    </row>
    <row r="66" spans="1:26">
      <c r="A66" s="50"/>
      <c r="B66" s="185"/>
      <c r="C66" s="184"/>
      <c r="D66" s="184"/>
      <c r="E66" s="184"/>
      <c r="F66" s="185"/>
      <c r="G66" s="185"/>
      <c r="H66" s="185"/>
      <c r="I66" s="185"/>
      <c r="J66" s="185"/>
      <c r="K66" s="185"/>
      <c r="L66" s="185"/>
      <c r="M66" s="186"/>
      <c r="N66" s="187"/>
      <c r="O66" s="185"/>
      <c r="P66" s="185"/>
      <c r="Q66" s="185"/>
      <c r="R66" s="185"/>
      <c r="S66" s="185"/>
      <c r="T66" s="185"/>
      <c r="U66" s="185"/>
      <c r="V66" s="185"/>
      <c r="W66" s="185"/>
      <c r="X66" s="185"/>
      <c r="Y66" s="185"/>
      <c r="Z66" s="185"/>
    </row>
    <row r="67" spans="1:26" ht="15.75">
      <c r="A67" s="50"/>
      <c r="B67" s="188"/>
      <c r="C67" s="184"/>
      <c r="D67" s="184"/>
      <c r="E67" s="184"/>
      <c r="F67" s="185"/>
      <c r="G67" s="185"/>
      <c r="H67" s="185"/>
      <c r="I67" s="185"/>
      <c r="J67" s="185"/>
      <c r="K67" s="185"/>
      <c r="L67" s="185"/>
      <c r="M67" s="186"/>
      <c r="N67" s="187"/>
      <c r="O67" s="185"/>
      <c r="P67" s="185"/>
      <c r="Q67" s="185"/>
      <c r="R67" s="185"/>
      <c r="S67" s="185"/>
      <c r="T67" s="185"/>
      <c r="U67" s="185"/>
      <c r="V67" s="185"/>
      <c r="W67" s="185"/>
      <c r="X67" s="185"/>
      <c r="Y67" s="185"/>
      <c r="Z67" s="185"/>
    </row>
    <row r="68" spans="1:26" ht="15.75">
      <c r="A68" s="50"/>
      <c r="B68" s="183" t="str">
        <f>'Category (2012)'!B11</f>
        <v>Regional Coordination</v>
      </c>
      <c r="C68" s="184"/>
      <c r="D68" s="184"/>
      <c r="E68" s="184"/>
      <c r="F68" s="185"/>
      <c r="G68" s="185"/>
      <c r="H68" s="185"/>
      <c r="I68" s="185"/>
      <c r="J68" s="185"/>
      <c r="K68" s="185"/>
      <c r="L68" s="185"/>
      <c r="M68" s="186"/>
      <c r="N68" s="187"/>
      <c r="O68" s="185"/>
      <c r="P68" s="185"/>
      <c r="Q68" s="185"/>
      <c r="R68" s="185"/>
      <c r="S68" s="185"/>
      <c r="T68" s="185"/>
      <c r="U68" s="185"/>
      <c r="V68" s="185"/>
      <c r="W68" s="185"/>
      <c r="X68" s="185"/>
      <c r="Y68" s="185"/>
      <c r="Z68" s="185"/>
    </row>
    <row r="69" spans="1:26" ht="15.75">
      <c r="A69" s="50"/>
      <c r="B69" s="188" t="s">
        <v>239</v>
      </c>
      <c r="C69" s="184">
        <v>0</v>
      </c>
      <c r="D69" s="184">
        <v>6000</v>
      </c>
      <c r="E69" s="184">
        <f>SUM(C69:D69)</f>
        <v>6000</v>
      </c>
      <c r="F69" s="184">
        <v>2000</v>
      </c>
      <c r="G69" s="185"/>
      <c r="H69" s="185"/>
      <c r="I69" s="196"/>
      <c r="J69" s="196"/>
      <c r="K69" s="196"/>
      <c r="L69" s="196"/>
      <c r="M69" s="186" t="s">
        <v>178</v>
      </c>
      <c r="N69" s="187"/>
      <c r="O69" s="185"/>
      <c r="P69" s="185"/>
      <c r="Q69" s="185"/>
      <c r="R69" s="185"/>
      <c r="S69" s="185"/>
      <c r="T69" s="185"/>
      <c r="U69" s="185"/>
      <c r="V69" s="185"/>
      <c r="W69" s="185"/>
      <c r="X69" s="185"/>
      <c r="Y69" s="185"/>
      <c r="Z69" s="185"/>
    </row>
    <row r="70" spans="1:26" ht="15.75">
      <c r="A70" s="50"/>
      <c r="B70" s="188" t="s">
        <v>118</v>
      </c>
      <c r="C70" s="184">
        <v>0</v>
      </c>
      <c r="D70" s="184">
        <v>12000</v>
      </c>
      <c r="E70" s="184">
        <f t="shared" ref="E70:E73" si="29">SUM(C70:D70)</f>
        <v>12000</v>
      </c>
      <c r="F70" s="184">
        <v>2000</v>
      </c>
      <c r="G70" s="185"/>
      <c r="H70" s="185"/>
      <c r="I70" s="185"/>
      <c r="J70" s="185"/>
      <c r="K70" s="185"/>
      <c r="L70" s="185"/>
      <c r="M70" s="186" t="s">
        <v>179</v>
      </c>
      <c r="N70" s="187"/>
      <c r="O70" s="185"/>
      <c r="P70" s="185"/>
      <c r="Q70" s="185"/>
      <c r="R70" s="185"/>
      <c r="S70" s="185"/>
      <c r="T70" s="185"/>
      <c r="U70" s="185"/>
      <c r="V70" s="185"/>
      <c r="W70" s="185"/>
      <c r="X70" s="185"/>
      <c r="Y70" s="185"/>
      <c r="Z70" s="185"/>
    </row>
    <row r="71" spans="1:26" ht="15.75">
      <c r="A71" s="50"/>
      <c r="B71" s="188" t="s">
        <v>39</v>
      </c>
      <c r="C71" s="184">
        <v>0</v>
      </c>
      <c r="D71" s="184">
        <v>24000</v>
      </c>
      <c r="E71" s="184">
        <f t="shared" si="29"/>
        <v>24000</v>
      </c>
      <c r="F71" s="184">
        <v>2000</v>
      </c>
      <c r="G71" s="185"/>
      <c r="H71" s="185"/>
      <c r="I71" s="185"/>
      <c r="J71" s="185"/>
      <c r="K71" s="185"/>
      <c r="L71" s="185"/>
      <c r="M71" s="186"/>
      <c r="N71" s="187"/>
      <c r="O71" s="185"/>
      <c r="P71" s="185"/>
      <c r="Q71" s="185"/>
      <c r="R71" s="185"/>
      <c r="S71" s="185"/>
      <c r="T71" s="185"/>
      <c r="U71" s="185"/>
      <c r="V71" s="185"/>
      <c r="W71" s="185"/>
      <c r="X71" s="185"/>
      <c r="Y71" s="185"/>
      <c r="Z71" s="185"/>
    </row>
    <row r="72" spans="1:26" ht="15.75">
      <c r="A72" s="50"/>
      <c r="B72" s="188" t="s">
        <v>0</v>
      </c>
      <c r="C72" s="184">
        <v>0</v>
      </c>
      <c r="D72" s="184">
        <f>40*150</f>
        <v>6000</v>
      </c>
      <c r="E72" s="184">
        <f t="shared" si="29"/>
        <v>6000</v>
      </c>
      <c r="F72" s="184">
        <v>4000</v>
      </c>
      <c r="G72" s="185"/>
      <c r="H72" s="185"/>
      <c r="I72" s="185"/>
      <c r="J72" s="185"/>
      <c r="K72" s="185"/>
      <c r="L72" s="185"/>
      <c r="M72" s="186" t="s">
        <v>240</v>
      </c>
      <c r="N72" s="187"/>
      <c r="O72" s="185"/>
      <c r="P72" s="185"/>
      <c r="Q72" s="185"/>
      <c r="R72" s="185"/>
      <c r="S72" s="185"/>
      <c r="T72" s="185"/>
      <c r="U72" s="185"/>
      <c r="V72" s="185"/>
      <c r="W72" s="185"/>
      <c r="X72" s="185"/>
      <c r="Y72" s="185"/>
      <c r="Z72" s="185"/>
    </row>
    <row r="73" spans="1:26" ht="15.75">
      <c r="A73" s="50"/>
      <c r="B73" s="188" t="s">
        <v>23</v>
      </c>
      <c r="C73" s="184">
        <v>0</v>
      </c>
      <c r="D73" s="184">
        <v>10000</v>
      </c>
      <c r="E73" s="184">
        <f t="shared" si="29"/>
        <v>10000</v>
      </c>
      <c r="F73" s="184">
        <v>2000</v>
      </c>
      <c r="G73" s="185"/>
      <c r="H73" s="185"/>
      <c r="I73" s="185"/>
      <c r="J73" s="185"/>
      <c r="K73" s="185"/>
      <c r="L73" s="185"/>
      <c r="M73" s="186"/>
      <c r="N73" s="187"/>
      <c r="O73" s="185"/>
      <c r="P73" s="185"/>
      <c r="Q73" s="185"/>
      <c r="R73" s="185"/>
      <c r="S73" s="185"/>
      <c r="T73" s="185"/>
      <c r="U73" s="185"/>
      <c r="V73" s="185"/>
      <c r="W73" s="185"/>
      <c r="X73" s="185"/>
      <c r="Y73" s="185"/>
      <c r="Z73" s="185"/>
    </row>
    <row r="74" spans="1:26" ht="15.75">
      <c r="A74" s="50"/>
      <c r="B74" s="183" t="str">
        <f>CONCATENATE("Subtotal ",B68)</f>
        <v>Subtotal Regional Coordination</v>
      </c>
      <c r="C74" s="193">
        <f>SUM(C69:C73)</f>
        <v>0</v>
      </c>
      <c r="D74" s="193">
        <f>SUM(D69:D73)</f>
        <v>58000</v>
      </c>
      <c r="E74" s="193">
        <f>SUM(E69:E73)</f>
        <v>58000</v>
      </c>
      <c r="F74" s="193">
        <f>SUM(F69:F73)</f>
        <v>12000</v>
      </c>
      <c r="G74" s="185"/>
      <c r="H74" s="185"/>
      <c r="I74" s="185"/>
      <c r="J74" s="185"/>
      <c r="K74" s="185"/>
      <c r="L74" s="185"/>
      <c r="M74" s="186"/>
      <c r="N74" s="187"/>
      <c r="O74" s="185"/>
      <c r="P74" s="185"/>
      <c r="Q74" s="185"/>
      <c r="R74" s="185"/>
      <c r="S74" s="185"/>
      <c r="T74" s="185"/>
      <c r="U74" s="185"/>
      <c r="V74" s="185"/>
      <c r="W74" s="185"/>
      <c r="X74" s="185"/>
      <c r="Y74" s="185"/>
      <c r="Z74" s="185"/>
    </row>
    <row r="75" spans="1:26">
      <c r="A75" s="50"/>
      <c r="B75" s="185"/>
      <c r="C75" s="184"/>
      <c r="D75" s="184"/>
      <c r="E75" s="184"/>
      <c r="F75" s="185"/>
      <c r="G75" s="185"/>
      <c r="H75" s="185"/>
      <c r="I75" s="185"/>
      <c r="J75" s="185"/>
      <c r="K75" s="185"/>
      <c r="L75" s="185"/>
      <c r="M75" s="186"/>
      <c r="N75" s="187"/>
      <c r="O75" s="185"/>
      <c r="P75" s="185"/>
      <c r="Q75" s="185"/>
      <c r="R75" s="185"/>
      <c r="S75" s="185"/>
      <c r="T75" s="185"/>
      <c r="U75" s="185"/>
      <c r="V75" s="185"/>
      <c r="W75" s="185"/>
      <c r="X75" s="185"/>
      <c r="Y75" s="185"/>
      <c r="Z75" s="185"/>
    </row>
    <row r="76" spans="1:26" ht="15.75">
      <c r="A76" s="50"/>
      <c r="B76" s="1"/>
      <c r="C76" s="3"/>
      <c r="D76" s="3"/>
      <c r="E76" s="3"/>
      <c r="M76" s="8"/>
    </row>
    <row r="77" spans="1:26" ht="15.75">
      <c r="A77" s="50"/>
      <c r="B77" s="176" t="str">
        <f>'Category (2012)'!B12</f>
        <v xml:space="preserve">Website, Database support, Conservation Tracking </v>
      </c>
      <c r="C77" s="177"/>
      <c r="D77" s="177"/>
      <c r="E77" s="177"/>
      <c r="F77" s="178"/>
      <c r="G77" s="178"/>
      <c r="H77" s="178"/>
      <c r="I77" s="178"/>
      <c r="J77" s="178"/>
      <c r="K77" s="178"/>
      <c r="L77" s="178"/>
      <c r="M77" s="179"/>
      <c r="N77" s="180"/>
      <c r="O77" s="178"/>
      <c r="P77" s="178"/>
      <c r="Q77" s="178"/>
      <c r="R77" s="178"/>
      <c r="S77" s="178"/>
      <c r="T77" s="178"/>
      <c r="U77" s="178"/>
      <c r="V77" s="178"/>
      <c r="W77" s="178"/>
      <c r="X77" s="178"/>
      <c r="Y77" s="178"/>
      <c r="Z77" s="178"/>
    </row>
    <row r="78" spans="1:26" ht="15.75">
      <c r="A78" s="50"/>
      <c r="B78" s="181" t="s">
        <v>120</v>
      </c>
      <c r="C78" s="177">
        <v>0</v>
      </c>
      <c r="D78" s="177">
        <v>0</v>
      </c>
      <c r="E78" s="177">
        <f>SUM(C78:D78)</f>
        <v>0</v>
      </c>
      <c r="F78" s="177">
        <v>30000</v>
      </c>
      <c r="G78" s="178"/>
      <c r="H78" s="178"/>
      <c r="I78" s="178"/>
      <c r="J78" s="178"/>
      <c r="K78" s="178"/>
      <c r="L78" s="178"/>
      <c r="M78" s="179"/>
      <c r="N78" s="180"/>
      <c r="O78" s="178"/>
      <c r="P78" s="178"/>
      <c r="Q78" s="178"/>
      <c r="R78" s="178"/>
      <c r="S78" s="178"/>
      <c r="T78" s="178"/>
      <c r="U78" s="178"/>
      <c r="V78" s="178"/>
      <c r="W78" s="178"/>
      <c r="X78" s="178"/>
      <c r="Y78" s="178"/>
      <c r="Z78" s="178"/>
    </row>
    <row r="79" spans="1:26" ht="15.75">
      <c r="A79" s="50"/>
      <c r="B79" s="181" t="s">
        <v>119</v>
      </c>
      <c r="C79" s="177">
        <v>0</v>
      </c>
      <c r="D79" s="177">
        <v>0</v>
      </c>
      <c r="E79" s="177">
        <f t="shared" ref="E79:E80" si="30">SUM(C79:D79)</f>
        <v>0</v>
      </c>
      <c r="F79" s="177">
        <v>12000</v>
      </c>
      <c r="G79" s="178"/>
      <c r="H79" s="178"/>
      <c r="I79" s="178"/>
      <c r="J79" s="178"/>
      <c r="K79" s="178"/>
      <c r="L79" s="178"/>
      <c r="M79" s="179"/>
      <c r="N79" s="180"/>
      <c r="O79" s="178"/>
      <c r="P79" s="178"/>
      <c r="Q79" s="178"/>
      <c r="R79" s="178"/>
      <c r="S79" s="178"/>
      <c r="T79" s="178"/>
      <c r="U79" s="178"/>
      <c r="V79" s="178"/>
      <c r="W79" s="178"/>
      <c r="X79" s="178"/>
      <c r="Y79" s="178"/>
      <c r="Z79" s="178"/>
    </row>
    <row r="80" spans="1:26" ht="15.75">
      <c r="A80" s="50"/>
      <c r="B80" s="181" t="s">
        <v>33</v>
      </c>
      <c r="C80" s="177">
        <v>0</v>
      </c>
      <c r="D80" s="177">
        <v>0</v>
      </c>
      <c r="E80" s="177">
        <f t="shared" si="30"/>
        <v>0</v>
      </c>
      <c r="F80" s="177">
        <v>8000</v>
      </c>
      <c r="G80" s="178"/>
      <c r="H80" s="178"/>
      <c r="I80" s="197"/>
      <c r="J80" s="197"/>
      <c r="K80" s="197"/>
      <c r="L80" s="197"/>
      <c r="M80" s="179" t="s">
        <v>241</v>
      </c>
      <c r="N80" s="180"/>
      <c r="O80" s="178"/>
      <c r="P80" s="178"/>
      <c r="Q80" s="178"/>
      <c r="R80" s="178"/>
      <c r="S80" s="178"/>
      <c r="T80" s="178"/>
      <c r="U80" s="178"/>
      <c r="V80" s="178"/>
      <c r="W80" s="178"/>
      <c r="X80" s="178"/>
      <c r="Y80" s="178"/>
      <c r="Z80" s="178"/>
    </row>
    <row r="81" spans="1:26" ht="15.75">
      <c r="A81" s="50"/>
      <c r="B81" s="176" t="str">
        <f>CONCATENATE("Subtotal ",B77)</f>
        <v xml:space="preserve">Subtotal Website, Database support, Conservation Tracking </v>
      </c>
      <c r="C81" s="182">
        <f>SUM(C78:C80)</f>
        <v>0</v>
      </c>
      <c r="D81" s="182">
        <f t="shared" ref="D81" si="31">SUM(D78:D80)</f>
        <v>0</v>
      </c>
      <c r="E81" s="182">
        <f t="shared" ref="E81" si="32">SUM(E78:E80)</f>
        <v>0</v>
      </c>
      <c r="F81" s="182">
        <f t="shared" ref="F81" si="33">SUM(F78:F80)</f>
        <v>50000</v>
      </c>
      <c r="G81" s="178"/>
      <c r="H81" s="178"/>
      <c r="I81" s="178"/>
      <c r="J81" s="178"/>
      <c r="K81" s="178"/>
      <c r="L81" s="178"/>
      <c r="M81" s="179"/>
      <c r="N81" s="180"/>
      <c r="O81" s="178"/>
      <c r="P81" s="178"/>
      <c r="Q81" s="178"/>
      <c r="R81" s="178"/>
      <c r="S81" s="178"/>
      <c r="T81" s="178"/>
      <c r="U81" s="178"/>
      <c r="V81" s="178"/>
      <c r="W81" s="178"/>
      <c r="X81" s="178"/>
      <c r="Y81" s="178"/>
      <c r="Z81" s="178"/>
    </row>
    <row r="82" spans="1:26" ht="15.75">
      <c r="A82" s="50"/>
      <c r="B82" s="176"/>
      <c r="C82" s="177"/>
      <c r="D82" s="177"/>
      <c r="E82" s="177"/>
      <c r="F82" s="177"/>
      <c r="G82" s="178"/>
      <c r="H82" s="178"/>
      <c r="I82" s="178"/>
      <c r="J82" s="178"/>
      <c r="K82" s="178"/>
      <c r="L82" s="178"/>
      <c r="M82" s="179"/>
      <c r="N82" s="180"/>
      <c r="O82" s="178"/>
      <c r="P82" s="178"/>
      <c r="Q82" s="178"/>
      <c r="R82" s="178"/>
      <c r="S82" s="178"/>
      <c r="T82" s="178"/>
      <c r="U82" s="178"/>
      <c r="V82" s="178"/>
      <c r="W82" s="178"/>
      <c r="X82" s="178"/>
      <c r="Y82" s="178"/>
      <c r="Z82" s="178"/>
    </row>
    <row r="83" spans="1:26" ht="15.75">
      <c r="A83" s="50"/>
      <c r="B83" s="181"/>
      <c r="C83" s="177"/>
      <c r="D83" s="177"/>
      <c r="E83" s="177"/>
      <c r="F83" s="177"/>
      <c r="G83" s="178"/>
      <c r="H83" s="178"/>
      <c r="I83" s="178"/>
      <c r="J83" s="178"/>
      <c r="K83" s="178"/>
      <c r="L83" s="178"/>
      <c r="M83" s="179"/>
      <c r="N83" s="180"/>
      <c r="O83" s="178"/>
      <c r="P83" s="178"/>
      <c r="Q83" s="178"/>
      <c r="R83" s="178"/>
      <c r="S83" s="178"/>
      <c r="T83" s="178"/>
      <c r="U83" s="178"/>
      <c r="V83" s="178"/>
      <c r="W83" s="178"/>
      <c r="X83" s="178"/>
      <c r="Y83" s="178"/>
      <c r="Z83" s="178"/>
    </row>
    <row r="84" spans="1:26" ht="15.75">
      <c r="A84" s="50"/>
      <c r="B84" s="176" t="str">
        <f>'Category (2012)'!B13</f>
        <v>RTF Member Support &amp; Administration</v>
      </c>
      <c r="C84" s="177"/>
      <c r="D84" s="177"/>
      <c r="E84" s="177"/>
      <c r="F84" s="177"/>
      <c r="G84" s="178"/>
      <c r="H84" s="178"/>
      <c r="I84" s="178"/>
      <c r="J84" s="178"/>
      <c r="K84" s="178"/>
      <c r="L84" s="178"/>
      <c r="M84" s="179"/>
      <c r="N84" s="180"/>
      <c r="O84" s="178"/>
      <c r="P84" s="178"/>
      <c r="Q84" s="178"/>
      <c r="R84" s="178"/>
      <c r="S84" s="178"/>
      <c r="T84" s="178"/>
      <c r="U84" s="178"/>
      <c r="V84" s="178"/>
      <c r="W84" s="178"/>
      <c r="X84" s="178"/>
      <c r="Y84" s="178"/>
      <c r="Z84" s="178"/>
    </row>
    <row r="85" spans="1:26" ht="15.75">
      <c r="A85" s="50"/>
      <c r="B85" s="181" t="s">
        <v>34</v>
      </c>
      <c r="C85" s="177">
        <v>24000</v>
      </c>
      <c r="D85" s="177">
        <v>0</v>
      </c>
      <c r="E85" s="177">
        <f>SUM(C85:D85)</f>
        <v>24000</v>
      </c>
      <c r="F85" s="177">
        <v>7000</v>
      </c>
      <c r="G85" s="178"/>
      <c r="H85" s="178"/>
      <c r="I85" s="178"/>
      <c r="J85" s="178"/>
      <c r="K85" s="178"/>
      <c r="L85" s="178"/>
      <c r="M85" s="178" t="s">
        <v>213</v>
      </c>
      <c r="N85" s="180"/>
      <c r="O85" s="178"/>
      <c r="P85" s="178"/>
      <c r="Q85" s="178"/>
      <c r="R85" s="178"/>
      <c r="S85" s="178"/>
      <c r="T85" s="178"/>
      <c r="U85" s="178"/>
      <c r="V85" s="178"/>
      <c r="W85" s="178"/>
      <c r="X85" s="178"/>
      <c r="Y85" s="178"/>
      <c r="Z85" s="178"/>
    </row>
    <row r="86" spans="1:26" ht="15.75">
      <c r="A86" s="50"/>
      <c r="B86" s="181" t="s">
        <v>35</v>
      </c>
      <c r="C86" s="177">
        <v>150000</v>
      </c>
      <c r="D86" s="177">
        <v>0</v>
      </c>
      <c r="E86" s="177">
        <f>SUM(C86:D86)</f>
        <v>150000</v>
      </c>
      <c r="F86" s="177">
        <v>0</v>
      </c>
      <c r="G86" s="178"/>
      <c r="H86" s="178"/>
      <c r="I86" s="178"/>
      <c r="J86" s="178"/>
      <c r="K86" s="178"/>
      <c r="L86" s="178"/>
      <c r="M86" s="179" t="s">
        <v>36</v>
      </c>
      <c r="N86" s="180"/>
      <c r="O86" s="178"/>
      <c r="P86" s="178"/>
      <c r="Q86" s="178"/>
      <c r="R86" s="178"/>
      <c r="S86" s="178"/>
      <c r="T86" s="178"/>
      <c r="U86" s="178"/>
      <c r="V86" s="178"/>
      <c r="W86" s="178"/>
      <c r="X86" s="178"/>
      <c r="Y86" s="178"/>
      <c r="Z86" s="178"/>
    </row>
    <row r="87" spans="1:26" ht="15.75">
      <c r="A87" s="50"/>
      <c r="B87" s="176" t="str">
        <f>CONCATENATE("Subtotal ",B84)</f>
        <v>Subtotal RTF Member Support &amp; Administration</v>
      </c>
      <c r="C87" s="182">
        <f>SUM(C85:C86)</f>
        <v>174000</v>
      </c>
      <c r="D87" s="182">
        <f t="shared" ref="D87:F87" si="34">SUM(D85:D86)</f>
        <v>0</v>
      </c>
      <c r="E87" s="182">
        <f t="shared" si="34"/>
        <v>174000</v>
      </c>
      <c r="F87" s="182">
        <f t="shared" si="34"/>
        <v>7000</v>
      </c>
      <c r="G87" s="178"/>
      <c r="H87" s="178"/>
      <c r="I87" s="178"/>
      <c r="J87" s="178"/>
      <c r="K87" s="178"/>
      <c r="L87" s="178"/>
      <c r="M87" s="198"/>
      <c r="N87" s="180"/>
      <c r="O87" s="178"/>
      <c r="P87" s="178"/>
      <c r="Q87" s="178"/>
      <c r="R87" s="178"/>
      <c r="S87" s="178"/>
      <c r="T87" s="178"/>
      <c r="U87" s="178"/>
      <c r="V87" s="178"/>
      <c r="W87" s="178"/>
      <c r="X87" s="178"/>
      <c r="Y87" s="178"/>
      <c r="Z87" s="178"/>
    </row>
    <row r="88" spans="1:26">
      <c r="A88" s="50"/>
      <c r="B88" s="178"/>
      <c r="C88" s="177"/>
      <c r="D88" s="177"/>
      <c r="E88" s="177"/>
      <c r="F88" s="177"/>
      <c r="G88" s="178"/>
      <c r="H88" s="178"/>
      <c r="I88" s="178"/>
      <c r="J88" s="178"/>
      <c r="K88" s="178"/>
      <c r="L88" s="178"/>
      <c r="M88" s="198"/>
      <c r="N88" s="180"/>
      <c r="O88" s="178"/>
      <c r="P88" s="178"/>
      <c r="Q88" s="178"/>
      <c r="R88" s="178"/>
      <c r="S88" s="178"/>
      <c r="T88" s="178"/>
      <c r="U88" s="178"/>
      <c r="V88" s="178"/>
      <c r="W88" s="178"/>
      <c r="X88" s="178"/>
      <c r="Y88" s="178"/>
      <c r="Z88" s="178"/>
    </row>
    <row r="89" spans="1:26">
      <c r="A89" s="50"/>
      <c r="B89" s="178"/>
      <c r="C89" s="177"/>
      <c r="D89" s="177"/>
      <c r="E89" s="177"/>
      <c r="F89" s="177"/>
      <c r="G89" s="178"/>
      <c r="H89" s="178"/>
      <c r="I89" s="178"/>
      <c r="J89" s="178"/>
      <c r="K89" s="178"/>
      <c r="L89" s="178"/>
      <c r="M89" s="198"/>
      <c r="N89" s="180"/>
      <c r="O89" s="178"/>
      <c r="P89" s="178"/>
      <c r="Q89" s="178"/>
      <c r="R89" s="178"/>
      <c r="S89" s="178"/>
      <c r="T89" s="178"/>
      <c r="U89" s="178"/>
      <c r="V89" s="178"/>
      <c r="W89" s="178"/>
      <c r="X89" s="178"/>
      <c r="Y89" s="178"/>
      <c r="Z89" s="178"/>
    </row>
    <row r="90" spans="1:26" ht="15.75">
      <c r="A90" s="50"/>
      <c r="B90" s="176" t="s">
        <v>83</v>
      </c>
      <c r="C90" s="177"/>
      <c r="D90" s="177"/>
      <c r="E90" s="177"/>
      <c r="F90" s="177"/>
      <c r="G90" s="178"/>
      <c r="H90" s="178"/>
      <c r="I90" s="178"/>
      <c r="J90" s="178"/>
      <c r="K90" s="178"/>
      <c r="L90" s="178"/>
      <c r="M90" s="198"/>
      <c r="N90" s="180"/>
      <c r="O90" s="178"/>
      <c r="P90" s="178"/>
      <c r="Q90" s="178"/>
      <c r="R90" s="178"/>
      <c r="S90" s="178"/>
      <c r="T90" s="178"/>
      <c r="U90" s="178"/>
      <c r="V90" s="178"/>
      <c r="W90" s="178"/>
      <c r="X90" s="178"/>
      <c r="Y90" s="178"/>
      <c r="Z90" s="178"/>
    </row>
    <row r="91" spans="1:26" ht="15.75">
      <c r="A91" s="50"/>
      <c r="B91" s="181" t="s">
        <v>242</v>
      </c>
      <c r="C91" s="177">
        <v>0</v>
      </c>
      <c r="D91" s="177">
        <v>100000</v>
      </c>
      <c r="E91" s="177">
        <f>SUM(C91:D91)</f>
        <v>100000</v>
      </c>
      <c r="F91" s="177">
        <v>0</v>
      </c>
      <c r="G91" s="178"/>
      <c r="H91" s="178"/>
      <c r="I91" s="178"/>
      <c r="J91" s="178"/>
      <c r="K91" s="178"/>
      <c r="L91" s="178"/>
      <c r="M91" s="198"/>
      <c r="N91" s="180"/>
      <c r="O91" s="178"/>
      <c r="P91" s="178"/>
      <c r="Q91" s="178"/>
      <c r="R91" s="178"/>
      <c r="S91" s="178"/>
      <c r="T91" s="178"/>
      <c r="U91" s="178"/>
      <c r="V91" s="178"/>
      <c r="W91" s="178"/>
      <c r="X91" s="178"/>
      <c r="Y91" s="178"/>
      <c r="Z91" s="178"/>
    </row>
    <row r="92" spans="1:26" ht="15.75">
      <c r="B92" s="181" t="s">
        <v>243</v>
      </c>
      <c r="C92" s="177">
        <v>0</v>
      </c>
      <c r="D92" s="177">
        <v>0</v>
      </c>
      <c r="E92" s="177">
        <f t="shared" ref="E92:E93" si="35">SUM(C92:D92)</f>
        <v>0</v>
      </c>
      <c r="F92" s="177">
        <v>180000</v>
      </c>
      <c r="G92" s="178"/>
      <c r="H92" s="178"/>
      <c r="I92" s="178"/>
      <c r="J92" s="178"/>
      <c r="K92" s="178"/>
      <c r="L92" s="178"/>
      <c r="M92" s="199"/>
      <c r="N92" s="180"/>
      <c r="O92" s="178"/>
      <c r="P92" s="178"/>
      <c r="Q92" s="178"/>
      <c r="R92" s="178"/>
      <c r="S92" s="178"/>
      <c r="T92" s="178"/>
      <c r="U92" s="178"/>
      <c r="V92" s="178"/>
      <c r="W92" s="178"/>
      <c r="X92" s="178"/>
      <c r="Y92" s="178"/>
      <c r="Z92" s="178"/>
    </row>
    <row r="93" spans="1:26" ht="15.75">
      <c r="B93" s="181" t="s">
        <v>180</v>
      </c>
      <c r="C93" s="177">
        <v>5000</v>
      </c>
      <c r="D93" s="177">
        <v>0</v>
      </c>
      <c r="E93" s="177">
        <f t="shared" si="35"/>
        <v>5000</v>
      </c>
      <c r="F93" s="177">
        <v>0</v>
      </c>
      <c r="G93" s="178"/>
      <c r="H93" s="178"/>
      <c r="I93" s="178"/>
      <c r="J93" s="178"/>
      <c r="K93" s="178"/>
      <c r="L93" s="178"/>
      <c r="M93" s="198"/>
      <c r="N93" s="180"/>
      <c r="O93" s="178"/>
      <c r="P93" s="178"/>
      <c r="Q93" s="178"/>
      <c r="R93" s="178"/>
      <c r="S93" s="178"/>
      <c r="T93" s="178"/>
      <c r="U93" s="178"/>
      <c r="V93" s="178"/>
      <c r="W93" s="178"/>
      <c r="X93" s="178"/>
      <c r="Y93" s="178"/>
      <c r="Z93" s="178"/>
    </row>
    <row r="94" spans="1:26" ht="15.75">
      <c r="B94" s="176" t="str">
        <f>CONCATENATE("Subtotal ",B90)</f>
        <v>Subtotal RTF Management</v>
      </c>
      <c r="C94" s="182">
        <f t="shared" ref="C94:D94" si="36">SUM(C91:C93)</f>
        <v>5000</v>
      </c>
      <c r="D94" s="182">
        <f t="shared" si="36"/>
        <v>100000</v>
      </c>
      <c r="E94" s="182">
        <f>SUM(E91:E93)</f>
        <v>105000</v>
      </c>
      <c r="F94" s="182">
        <f>SUM(F91:F93)</f>
        <v>180000</v>
      </c>
      <c r="G94" s="178"/>
      <c r="H94" s="178"/>
      <c r="I94" s="178"/>
      <c r="J94" s="178"/>
      <c r="K94" s="178"/>
      <c r="L94" s="178"/>
      <c r="M94" s="198"/>
      <c r="N94" s="180"/>
      <c r="O94" s="178"/>
      <c r="P94" s="178"/>
      <c r="Q94" s="178"/>
      <c r="R94" s="178"/>
      <c r="S94" s="178"/>
      <c r="T94" s="178"/>
      <c r="U94" s="178"/>
      <c r="V94" s="178"/>
      <c r="W94" s="178"/>
      <c r="X94" s="178"/>
      <c r="Y94" s="178"/>
      <c r="Z94" s="178"/>
    </row>
    <row r="95" spans="1:26">
      <c r="B95" s="178"/>
      <c r="C95" s="178"/>
      <c r="D95" s="178"/>
      <c r="E95" s="178"/>
      <c r="F95" s="178"/>
      <c r="G95" s="178"/>
      <c r="H95" s="178"/>
      <c r="I95" s="178"/>
      <c r="J95" s="178"/>
      <c r="K95" s="178"/>
      <c r="L95" s="178"/>
      <c r="M95" s="198"/>
      <c r="N95" s="180"/>
      <c r="O95" s="178"/>
      <c r="P95" s="178"/>
      <c r="Q95" s="178"/>
      <c r="R95" s="178"/>
      <c r="S95" s="178"/>
      <c r="T95" s="178"/>
      <c r="U95" s="178"/>
      <c r="V95" s="178"/>
      <c r="W95" s="178"/>
      <c r="X95" s="178"/>
      <c r="Y95" s="178"/>
      <c r="Z95" s="178"/>
    </row>
    <row r="96" spans="1:26">
      <c r="M96" s="9"/>
    </row>
    <row r="97" spans="2:26" ht="15.75">
      <c r="B97" s="174" t="s">
        <v>49</v>
      </c>
      <c r="C97" s="200">
        <f>SUM(C17,C28,C42,C57,C65,C74,C81,C87,C94)</f>
        <v>1080000</v>
      </c>
      <c r="D97" s="200">
        <f>SUM(D17,D28,D42,D57,D65,D74,D81,D87,D94)</f>
        <v>420000</v>
      </c>
      <c r="E97" s="200">
        <f>SUM(E17,E28,E42,E57,E65,E74,E81,E87,E94)</f>
        <v>1500000</v>
      </c>
      <c r="F97" s="200">
        <f>SUM(F17,F28,F42,F57,F65,F74,F81,F87,F94)</f>
        <v>361000</v>
      </c>
      <c r="G97" s="59"/>
      <c r="H97" s="59"/>
      <c r="I97" s="59"/>
      <c r="J97" s="59"/>
      <c r="K97" s="59"/>
      <c r="L97" s="59"/>
      <c r="M97" s="201"/>
      <c r="N97" s="175"/>
      <c r="O97" s="59"/>
      <c r="P97" s="59"/>
      <c r="Q97" s="59"/>
      <c r="R97" s="59"/>
      <c r="S97" s="59"/>
      <c r="T97" s="59"/>
      <c r="U97" s="59"/>
      <c r="V97" s="59"/>
      <c r="W97" s="59"/>
      <c r="X97" s="59"/>
      <c r="Y97" s="59"/>
      <c r="Z97" s="59"/>
    </row>
    <row r="99" spans="2:26">
      <c r="F99" s="4">
        <f>SUM(F17,F28,F42,F57,F65,)</f>
        <v>112000</v>
      </c>
      <c r="G99" t="s">
        <v>181</v>
      </c>
    </row>
    <row r="100" spans="2:26">
      <c r="F100" s="4">
        <f>SUM(F74,F81,F87,F94)</f>
        <v>249000</v>
      </c>
      <c r="G100" t="s">
        <v>182</v>
      </c>
    </row>
    <row r="102" spans="2:26">
      <c r="D102" s="97">
        <f>D97/240000</f>
        <v>1.75</v>
      </c>
      <c r="F102" s="97">
        <f>F97/'NPCC In Kind'!E4</f>
        <v>2.2562500000000001</v>
      </c>
    </row>
    <row r="103" spans="2:26">
      <c r="D103" s="97" t="s">
        <v>56</v>
      </c>
      <c r="F103" s="97" t="s">
        <v>56</v>
      </c>
    </row>
    <row r="105" spans="2:26">
      <c r="D105">
        <f>2.5*240000</f>
        <v>600000</v>
      </c>
    </row>
    <row r="106" spans="2:26">
      <c r="D106" s="4">
        <f>D105-D97</f>
        <v>180000</v>
      </c>
    </row>
  </sheetData>
  <mergeCells count="1">
    <mergeCell ref="H7:K7"/>
  </mergeCells>
  <phoneticPr fontId="20" type="noConversion"/>
  <pageMargins left="0.7" right="0.7" top="0.75" bottom="0.75" header="0.3" footer="0.3"/>
  <pageSetup orientation="portrait" r:id="rId1"/>
  <legacyDrawing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sheetPr codeName="Sheet4"/>
  <dimension ref="B1:T48"/>
  <sheetViews>
    <sheetView topLeftCell="B1" workbookViewId="0">
      <selection activeCell="E9" sqref="E9:E11"/>
    </sheetView>
  </sheetViews>
  <sheetFormatPr defaultColWidth="8.85546875" defaultRowHeight="15"/>
  <cols>
    <col min="2" max="2" width="52.7109375" customWidth="1"/>
    <col min="3" max="3" width="13.7109375" customWidth="1"/>
    <col min="4" max="4" width="11" customWidth="1"/>
    <col min="5" max="5" width="12.140625" customWidth="1"/>
    <col min="6" max="6" width="11.85546875" customWidth="1"/>
    <col min="7" max="7" width="11" customWidth="1"/>
    <col min="8" max="8" width="7.5703125" customWidth="1"/>
    <col min="9" max="9" width="13.7109375" customWidth="1"/>
    <col min="10" max="10" width="11" customWidth="1"/>
    <col min="11" max="11" width="12.140625" customWidth="1"/>
    <col min="12" max="12" width="11.85546875" customWidth="1"/>
    <col min="14" max="14" width="7.42578125" customWidth="1"/>
    <col min="15" max="15" width="13.7109375" customWidth="1"/>
    <col min="16" max="16" width="11" customWidth="1"/>
    <col min="17" max="17" width="12.140625" customWidth="1"/>
    <col min="18" max="18" width="11.85546875" customWidth="1"/>
    <col min="20" max="20" width="60.7109375" customWidth="1"/>
  </cols>
  <sheetData>
    <row r="1" spans="2:20" ht="23.25">
      <c r="B1" s="80" t="s">
        <v>197</v>
      </c>
    </row>
    <row r="2" spans="2:20">
      <c r="B2" s="95" t="str">
        <f>'Table of Contents'!B2</f>
        <v>Final Draft - November 18, 2011</v>
      </c>
      <c r="M2" s="89"/>
      <c r="N2" s="139"/>
      <c r="O2" s="141"/>
      <c r="P2" s="140"/>
    </row>
    <row r="3" spans="2:20">
      <c r="B3" s="50"/>
    </row>
    <row r="4" spans="2:20">
      <c r="B4" t="s">
        <v>212</v>
      </c>
    </row>
    <row r="7" spans="2:20">
      <c r="C7" s="271" t="s">
        <v>32</v>
      </c>
      <c r="D7" s="271"/>
      <c r="E7" s="271"/>
      <c r="F7" s="271"/>
      <c r="I7" s="271" t="s">
        <v>183</v>
      </c>
      <c r="J7" s="271"/>
      <c r="K7" s="271"/>
      <c r="L7" s="271"/>
      <c r="O7" s="271" t="s">
        <v>184</v>
      </c>
      <c r="P7" s="271"/>
      <c r="Q7" s="271"/>
      <c r="R7" s="271"/>
    </row>
    <row r="8" spans="2:20" ht="64.5">
      <c r="B8" s="13" t="s">
        <v>76</v>
      </c>
      <c r="C8" s="14" t="s">
        <v>85</v>
      </c>
      <c r="D8" s="14" t="s">
        <v>74</v>
      </c>
      <c r="E8" s="133" t="s">
        <v>112</v>
      </c>
      <c r="F8" s="123" t="s">
        <v>256</v>
      </c>
      <c r="H8" s="14" t="s">
        <v>185</v>
      </c>
      <c r="I8" s="14" t="s">
        <v>85</v>
      </c>
      <c r="J8" s="14" t="s">
        <v>74</v>
      </c>
      <c r="K8" s="133" t="s">
        <v>112</v>
      </c>
      <c r="L8" s="123" t="s">
        <v>256</v>
      </c>
      <c r="N8" s="14" t="s">
        <v>185</v>
      </c>
      <c r="O8" s="14" t="s">
        <v>85</v>
      </c>
      <c r="P8" s="14" t="s">
        <v>74</v>
      </c>
      <c r="Q8" s="133" t="s">
        <v>112</v>
      </c>
      <c r="R8" s="123" t="s">
        <v>256</v>
      </c>
      <c r="T8" s="14" t="s">
        <v>24</v>
      </c>
    </row>
    <row r="9" spans="2:20" ht="38.25" customHeight="1">
      <c r="B9" s="21" t="s">
        <v>84</v>
      </c>
      <c r="C9" s="22">
        <f>'Category Detail (2012)'!C17</f>
        <v>400000</v>
      </c>
      <c r="D9" s="22">
        <f>'Category Detail (2012)'!D17</f>
        <v>87000</v>
      </c>
      <c r="E9" s="134">
        <f>'Category Detail (2012)'!E17</f>
        <v>487000</v>
      </c>
      <c r="F9" s="124">
        <f>'Category Detail (2012)'!F17</f>
        <v>33500</v>
      </c>
      <c r="H9" s="85">
        <v>0.7</v>
      </c>
      <c r="I9" s="22">
        <f>C9*$H9</f>
        <v>280000</v>
      </c>
      <c r="J9" s="22">
        <f t="shared" ref="J9:L9" si="0">D9*$H9</f>
        <v>60899.999999999993</v>
      </c>
      <c r="K9" s="134">
        <f>SUM(I9:J9)</f>
        <v>340900</v>
      </c>
      <c r="L9" s="22">
        <f t="shared" si="0"/>
        <v>23450</v>
      </c>
      <c r="M9" s="139"/>
      <c r="N9" s="85">
        <v>1</v>
      </c>
      <c r="O9" s="22">
        <f>C9*$H9</f>
        <v>280000</v>
      </c>
      <c r="P9" s="22">
        <f t="shared" ref="P9:R9" si="1">D9*$H9</f>
        <v>60899.999999999993</v>
      </c>
      <c r="Q9" s="134">
        <f t="shared" si="1"/>
        <v>340900</v>
      </c>
      <c r="R9" s="22">
        <f t="shared" si="1"/>
        <v>23450</v>
      </c>
      <c r="T9" s="210" t="s">
        <v>188</v>
      </c>
    </row>
    <row r="10" spans="2:20" ht="38.25" customHeight="1">
      <c r="B10" s="24" t="s">
        <v>108</v>
      </c>
      <c r="C10" s="22">
        <f>'Category Detail (2012)'!C28</f>
        <v>101000</v>
      </c>
      <c r="D10" s="22">
        <f>'Category Detail (2012)'!D28</f>
        <v>37000</v>
      </c>
      <c r="E10" s="134">
        <f>'Category Detail (2012)'!E28</f>
        <v>138000</v>
      </c>
      <c r="F10" s="124">
        <f>'Category Detail (2012)'!F28</f>
        <v>18000</v>
      </c>
      <c r="H10" s="85">
        <v>2</v>
      </c>
      <c r="I10" s="22">
        <f t="shared" ref="I10:I11" si="2">C10*$H10</f>
        <v>202000</v>
      </c>
      <c r="J10" s="22">
        <f t="shared" ref="J10:J11" si="3">D10*$H10</f>
        <v>74000</v>
      </c>
      <c r="K10" s="134">
        <f t="shared" ref="K10:K17" si="4">SUM(I10:J10)</f>
        <v>276000</v>
      </c>
      <c r="L10" s="22">
        <f t="shared" ref="L10:L11" si="5">F10*$H10</f>
        <v>36000</v>
      </c>
      <c r="N10" s="85">
        <v>1</v>
      </c>
      <c r="O10" s="22">
        <f t="shared" ref="O10:O16" si="6">C10*$H10</f>
        <v>202000</v>
      </c>
      <c r="P10" s="22">
        <f t="shared" ref="P10:P16" si="7">D10*$H10</f>
        <v>74000</v>
      </c>
      <c r="Q10" s="134">
        <f t="shared" ref="Q10:Q16" si="8">E10*$H10</f>
        <v>276000</v>
      </c>
      <c r="R10" s="22">
        <f t="shared" ref="R10:R16" si="9">F10*$H10</f>
        <v>36000</v>
      </c>
      <c r="T10" s="210" t="s">
        <v>190</v>
      </c>
    </row>
    <row r="11" spans="2:20" ht="38.25" customHeight="1">
      <c r="B11" s="21" t="s">
        <v>77</v>
      </c>
      <c r="C11" s="22">
        <f>'Category Detail (2012)'!C42</f>
        <v>134000</v>
      </c>
      <c r="D11" s="22">
        <f>'Category Detail (2012)'!D42</f>
        <v>42000</v>
      </c>
      <c r="E11" s="134">
        <f>'Category Detail (2012)'!E42</f>
        <v>176000</v>
      </c>
      <c r="F11" s="124">
        <f>'Category Detail (2012)'!F42</f>
        <v>24500</v>
      </c>
      <c r="H11" s="85">
        <v>0.5</v>
      </c>
      <c r="I11" s="22">
        <f t="shared" si="2"/>
        <v>67000</v>
      </c>
      <c r="J11" s="22">
        <f t="shared" si="3"/>
        <v>21000</v>
      </c>
      <c r="K11" s="134">
        <f t="shared" si="4"/>
        <v>88000</v>
      </c>
      <c r="L11" s="22">
        <f t="shared" si="5"/>
        <v>12250</v>
      </c>
      <c r="N11" s="85">
        <f t="shared" ref="N11:N17" si="10">H11</f>
        <v>0.5</v>
      </c>
      <c r="O11" s="22">
        <f t="shared" si="6"/>
        <v>67000</v>
      </c>
      <c r="P11" s="22">
        <f t="shared" si="7"/>
        <v>21000</v>
      </c>
      <c r="Q11" s="134">
        <f t="shared" si="8"/>
        <v>88000</v>
      </c>
      <c r="R11" s="22">
        <f t="shared" si="9"/>
        <v>12250</v>
      </c>
      <c r="T11" s="210" t="s">
        <v>189</v>
      </c>
    </row>
    <row r="12" spans="2:20" ht="38.25" customHeight="1">
      <c r="B12" s="16" t="s">
        <v>101</v>
      </c>
      <c r="C12" s="17">
        <f>'Category Detail (2012)'!C57</f>
        <v>86000</v>
      </c>
      <c r="D12" s="17">
        <f>'Category Detail (2012)'!D57</f>
        <v>48000</v>
      </c>
      <c r="E12" s="135">
        <f>'Category Detail (2012)'!E57</f>
        <v>134000</v>
      </c>
      <c r="F12" s="125">
        <f>'Category Detail (2012)'!F57</f>
        <v>12000</v>
      </c>
      <c r="H12" s="85">
        <v>0.75</v>
      </c>
      <c r="I12" s="17">
        <f t="shared" ref="I12:I16" si="11">C12*$H12</f>
        <v>64500</v>
      </c>
      <c r="J12" s="17">
        <f t="shared" ref="J12:J16" si="12">D12*$H12</f>
        <v>36000</v>
      </c>
      <c r="K12" s="135">
        <f t="shared" si="4"/>
        <v>100500</v>
      </c>
      <c r="L12" s="17">
        <f t="shared" ref="L12:L16" si="13">F12*$H12</f>
        <v>9000</v>
      </c>
      <c r="N12" s="85">
        <f t="shared" si="10"/>
        <v>0.75</v>
      </c>
      <c r="O12" s="17">
        <f t="shared" si="6"/>
        <v>64500</v>
      </c>
      <c r="P12" s="17">
        <f t="shared" si="7"/>
        <v>36000</v>
      </c>
      <c r="Q12" s="135">
        <f t="shared" si="8"/>
        <v>100500</v>
      </c>
      <c r="R12" s="17">
        <f t="shared" si="9"/>
        <v>9000</v>
      </c>
      <c r="T12" s="211" t="s">
        <v>187</v>
      </c>
    </row>
    <row r="13" spans="2:20" ht="38.25" customHeight="1">
      <c r="B13" s="19" t="s">
        <v>50</v>
      </c>
      <c r="C13" s="17">
        <f>'Category Detail (2012)'!C65</f>
        <v>180000</v>
      </c>
      <c r="D13" s="17">
        <f>'Category Detail (2012)'!D65</f>
        <v>48000</v>
      </c>
      <c r="E13" s="135">
        <f>'Category Detail (2012)'!E65</f>
        <v>228000</v>
      </c>
      <c r="F13" s="125">
        <f>'Category Detail (2012)'!F65</f>
        <v>24000</v>
      </c>
      <c r="H13" s="85">
        <v>1</v>
      </c>
      <c r="I13" s="17">
        <f t="shared" si="11"/>
        <v>180000</v>
      </c>
      <c r="J13" s="17">
        <f t="shared" si="12"/>
        <v>48000</v>
      </c>
      <c r="K13" s="135">
        <f t="shared" si="4"/>
        <v>228000</v>
      </c>
      <c r="L13" s="17">
        <f t="shared" si="13"/>
        <v>24000</v>
      </c>
      <c r="N13" s="85">
        <f t="shared" si="10"/>
        <v>1</v>
      </c>
      <c r="O13" s="17">
        <f t="shared" si="6"/>
        <v>180000</v>
      </c>
      <c r="P13" s="17">
        <f t="shared" si="7"/>
        <v>48000</v>
      </c>
      <c r="Q13" s="135">
        <f t="shared" si="8"/>
        <v>228000</v>
      </c>
      <c r="R13" s="17">
        <f t="shared" si="9"/>
        <v>24000</v>
      </c>
      <c r="T13" s="211" t="s">
        <v>191</v>
      </c>
    </row>
    <row r="14" spans="2:20" ht="38.25" customHeight="1">
      <c r="B14" s="19" t="s">
        <v>117</v>
      </c>
      <c r="C14" s="17">
        <f>'Category Detail (2012)'!C74</f>
        <v>0</v>
      </c>
      <c r="D14" s="17">
        <f>'Category Detail (2012)'!D74</f>
        <v>58000</v>
      </c>
      <c r="E14" s="135">
        <f>'Category Detail (2012)'!E74</f>
        <v>58000</v>
      </c>
      <c r="F14" s="125">
        <f>'Category Detail (2012)'!F74</f>
        <v>12000</v>
      </c>
      <c r="H14" s="85">
        <v>1.2</v>
      </c>
      <c r="I14" s="17">
        <f t="shared" si="11"/>
        <v>0</v>
      </c>
      <c r="J14" s="17">
        <f t="shared" si="12"/>
        <v>69600</v>
      </c>
      <c r="K14" s="135">
        <f t="shared" si="4"/>
        <v>69600</v>
      </c>
      <c r="L14" s="17">
        <f t="shared" si="13"/>
        <v>14400</v>
      </c>
      <c r="N14" s="85">
        <f t="shared" si="10"/>
        <v>1.2</v>
      </c>
      <c r="O14" s="17">
        <f t="shared" si="6"/>
        <v>0</v>
      </c>
      <c r="P14" s="17">
        <f t="shared" si="7"/>
        <v>69600</v>
      </c>
      <c r="Q14" s="135">
        <f t="shared" si="8"/>
        <v>69600</v>
      </c>
      <c r="R14" s="17">
        <f t="shared" si="9"/>
        <v>14400</v>
      </c>
      <c r="T14" s="211" t="s">
        <v>191</v>
      </c>
    </row>
    <row r="15" spans="2:20" ht="38.25" customHeight="1">
      <c r="B15" s="10" t="s">
        <v>75</v>
      </c>
      <c r="C15" s="11">
        <f>'Category Detail (2012)'!C81</f>
        <v>0</v>
      </c>
      <c r="D15" s="11">
        <f>'Category Detail (2012)'!D81</f>
        <v>0</v>
      </c>
      <c r="E15" s="136">
        <f>'Category Detail (2012)'!E81</f>
        <v>0</v>
      </c>
      <c r="F15" s="126">
        <f>'Category Detail (2012)'!F81</f>
        <v>50000</v>
      </c>
      <c r="H15" s="85">
        <v>1</v>
      </c>
      <c r="I15" s="11">
        <f t="shared" si="11"/>
        <v>0</v>
      </c>
      <c r="J15" s="11">
        <f t="shared" si="12"/>
        <v>0</v>
      </c>
      <c r="K15" s="136">
        <f t="shared" si="4"/>
        <v>0</v>
      </c>
      <c r="L15" s="11">
        <f t="shared" si="13"/>
        <v>50000</v>
      </c>
      <c r="N15" s="85">
        <f t="shared" si="10"/>
        <v>1</v>
      </c>
      <c r="O15" s="11">
        <f t="shared" si="6"/>
        <v>0</v>
      </c>
      <c r="P15" s="11">
        <f t="shared" si="7"/>
        <v>0</v>
      </c>
      <c r="Q15" s="136">
        <f t="shared" si="8"/>
        <v>0</v>
      </c>
      <c r="R15" s="11">
        <f t="shared" si="9"/>
        <v>50000</v>
      </c>
      <c r="T15" s="209" t="s">
        <v>192</v>
      </c>
    </row>
    <row r="16" spans="2:20" ht="38.25" customHeight="1">
      <c r="B16" s="12" t="s">
        <v>37</v>
      </c>
      <c r="C16" s="11">
        <f>'Category Detail (2012)'!C87</f>
        <v>174000</v>
      </c>
      <c r="D16" s="11">
        <f>'Category Detail (2012)'!D87</f>
        <v>0</v>
      </c>
      <c r="E16" s="136">
        <f>'Category Detail (2012)'!E87</f>
        <v>174000</v>
      </c>
      <c r="F16" s="126">
        <f>'Category Detail (2012)'!F87</f>
        <v>7000</v>
      </c>
      <c r="H16" s="85">
        <v>1</v>
      </c>
      <c r="I16" s="11">
        <f t="shared" si="11"/>
        <v>174000</v>
      </c>
      <c r="J16" s="11">
        <f t="shared" si="12"/>
        <v>0</v>
      </c>
      <c r="K16" s="136">
        <f t="shared" si="4"/>
        <v>174000</v>
      </c>
      <c r="L16" s="11">
        <f t="shared" si="13"/>
        <v>7000</v>
      </c>
      <c r="N16" s="85">
        <f t="shared" si="10"/>
        <v>1</v>
      </c>
      <c r="O16" s="11">
        <f t="shared" si="6"/>
        <v>174000</v>
      </c>
      <c r="P16" s="11">
        <f t="shared" si="7"/>
        <v>0</v>
      </c>
      <c r="Q16" s="136">
        <f t="shared" si="8"/>
        <v>174000</v>
      </c>
      <c r="R16" s="11">
        <f t="shared" si="9"/>
        <v>7000</v>
      </c>
      <c r="T16" s="209" t="s">
        <v>192</v>
      </c>
    </row>
    <row r="17" spans="2:20" ht="38.25" customHeight="1">
      <c r="B17" s="10" t="s">
        <v>83</v>
      </c>
      <c r="C17" s="11">
        <f>'Category Detail (2012)'!C94</f>
        <v>5000</v>
      </c>
      <c r="D17" s="11">
        <f>'Category Detail (2012)'!D94</f>
        <v>100000</v>
      </c>
      <c r="E17" s="136">
        <f>'Category Detail (2012)'!E94</f>
        <v>105000</v>
      </c>
      <c r="F17" s="126">
        <f>'Category Detail (2012)'!F94</f>
        <v>180000</v>
      </c>
      <c r="H17" s="85" t="s">
        <v>186</v>
      </c>
      <c r="I17" s="11">
        <v>5000</v>
      </c>
      <c r="J17" s="11">
        <v>220000</v>
      </c>
      <c r="K17" s="136">
        <f t="shared" si="4"/>
        <v>225000</v>
      </c>
      <c r="L17" s="11">
        <v>120000</v>
      </c>
      <c r="N17" s="85" t="str">
        <f t="shared" si="10"/>
        <v>manual</v>
      </c>
      <c r="O17" s="11">
        <v>5000</v>
      </c>
      <c r="P17" s="11">
        <v>220000</v>
      </c>
      <c r="Q17" s="136">
        <f t="shared" ref="Q17" si="14">SUM(O17:P17)</f>
        <v>225000</v>
      </c>
      <c r="R17" s="11">
        <v>120000</v>
      </c>
      <c r="T17" s="209" t="s">
        <v>193</v>
      </c>
    </row>
    <row r="18" spans="2:20" ht="38.25" customHeight="1">
      <c r="B18" s="83" t="s">
        <v>38</v>
      </c>
      <c r="C18" s="84">
        <f>SUM(C9:C17)</f>
        <v>1080000</v>
      </c>
      <c r="D18" s="84">
        <f t="shared" ref="D18:F18" si="15">SUM(D9:D17)</f>
        <v>420000</v>
      </c>
      <c r="E18" s="137">
        <f t="shared" si="15"/>
        <v>1500000</v>
      </c>
      <c r="F18" s="127">
        <f t="shared" si="15"/>
        <v>361000</v>
      </c>
      <c r="I18" s="84">
        <f>SUM(I9:I17)</f>
        <v>972500</v>
      </c>
      <c r="J18" s="84">
        <f t="shared" ref="J18:L18" si="16">SUM(J9:J17)</f>
        <v>529500</v>
      </c>
      <c r="K18" s="137">
        <f t="shared" si="16"/>
        <v>1502000</v>
      </c>
      <c r="L18" s="84">
        <f t="shared" si="16"/>
        <v>296100</v>
      </c>
      <c r="O18" s="84">
        <f>SUM(O9:O17)</f>
        <v>972500</v>
      </c>
      <c r="P18" s="84">
        <f t="shared" ref="P18:R18" si="17">SUM(P9:P17)</f>
        <v>529500</v>
      </c>
      <c r="Q18" s="137">
        <f t="shared" si="17"/>
        <v>1502000</v>
      </c>
      <c r="R18" s="84">
        <f t="shared" si="17"/>
        <v>296100</v>
      </c>
      <c r="T18" s="88"/>
    </row>
    <row r="19" spans="2:20">
      <c r="B19" s="138" t="s">
        <v>56</v>
      </c>
      <c r="C19" s="89"/>
      <c r="D19" s="139">
        <f>D18/240000</f>
        <v>1.75</v>
      </c>
      <c r="E19" s="141"/>
      <c r="F19" s="140">
        <f>F18/'NPCC In Kind'!$E$4</f>
        <v>2.2562500000000001</v>
      </c>
      <c r="I19" s="89"/>
      <c r="J19" s="139">
        <f>J18/240000</f>
        <v>2.2062499999999998</v>
      </c>
      <c r="K19" s="141"/>
      <c r="L19" s="140">
        <f>L18/'NPCC In Kind'!$E$4</f>
        <v>1.850625</v>
      </c>
      <c r="O19" s="89"/>
      <c r="P19" s="139">
        <f>P18/240000</f>
        <v>2.2062499999999998</v>
      </c>
      <c r="Q19" s="141"/>
      <c r="R19" s="140">
        <f>R18/'NPCC In Kind'!$E$4</f>
        <v>1.850625</v>
      </c>
    </row>
    <row r="21" spans="2:20" ht="26.25">
      <c r="C21" s="120" t="s">
        <v>85</v>
      </c>
      <c r="D21" s="14" t="s">
        <v>74</v>
      </c>
      <c r="E21" s="14" t="s">
        <v>112</v>
      </c>
      <c r="F21" s="14" t="s">
        <v>113</v>
      </c>
    </row>
    <row r="22" spans="2:20">
      <c r="B22" s="87" t="str">
        <f>C7</f>
        <v>Calendar 2012</v>
      </c>
      <c r="C22" s="86">
        <f>C18</f>
        <v>1080000</v>
      </c>
      <c r="D22" s="86">
        <f t="shared" ref="D22:F22" si="18">D18</f>
        <v>420000</v>
      </c>
      <c r="E22" s="86">
        <f t="shared" si="18"/>
        <v>1500000</v>
      </c>
      <c r="F22" s="86">
        <f t="shared" si="18"/>
        <v>361000</v>
      </c>
    </row>
    <row r="23" spans="2:20">
      <c r="B23" s="87" t="str">
        <f>I7</f>
        <v>Calendar 2013</v>
      </c>
      <c r="C23" s="86">
        <f>I18</f>
        <v>972500</v>
      </c>
      <c r="D23" s="86">
        <f t="shared" ref="D23:F23" si="19">J18</f>
        <v>529500</v>
      </c>
      <c r="E23" s="86">
        <f t="shared" si="19"/>
        <v>1502000</v>
      </c>
      <c r="F23" s="86">
        <f t="shared" si="19"/>
        <v>296100</v>
      </c>
    </row>
    <row r="24" spans="2:20">
      <c r="B24" s="87" t="str">
        <f>O7</f>
        <v>Calendar 2014</v>
      </c>
      <c r="C24" s="86">
        <f>O18</f>
        <v>972500</v>
      </c>
      <c r="D24" s="86">
        <f t="shared" ref="D24:F24" si="20">P18</f>
        <v>529500</v>
      </c>
      <c r="E24" s="86">
        <f t="shared" si="20"/>
        <v>1502000</v>
      </c>
      <c r="F24" s="86">
        <f t="shared" si="20"/>
        <v>296100</v>
      </c>
    </row>
    <row r="26" spans="2:20">
      <c r="B26" s="89"/>
      <c r="C26" s="120" t="s">
        <v>252</v>
      </c>
      <c r="D26" s="120" t="s">
        <v>253</v>
      </c>
      <c r="E26" s="120" t="s">
        <v>254</v>
      </c>
    </row>
    <row r="27" spans="2:20">
      <c r="B27" s="87" t="s">
        <v>85</v>
      </c>
      <c r="C27" s="119">
        <f>C22</f>
        <v>1080000</v>
      </c>
      <c r="D27" s="119">
        <f>C23</f>
        <v>972500</v>
      </c>
      <c r="E27" s="119">
        <f>C24</f>
        <v>972500</v>
      </c>
    </row>
    <row r="28" spans="2:20">
      <c r="B28" s="87" t="s">
        <v>74</v>
      </c>
      <c r="C28" s="119">
        <f>D22</f>
        <v>420000</v>
      </c>
      <c r="D28" s="119">
        <f>D23</f>
        <v>529500</v>
      </c>
      <c r="E28" s="119">
        <f>D24</f>
        <v>529500</v>
      </c>
    </row>
    <row r="29" spans="2:20">
      <c r="B29" s="87" t="s">
        <v>112</v>
      </c>
      <c r="C29" s="119">
        <f>E22</f>
        <v>1500000</v>
      </c>
      <c r="D29" s="119">
        <f>E23</f>
        <v>1502000</v>
      </c>
      <c r="E29" s="119">
        <f>E24</f>
        <v>1502000</v>
      </c>
    </row>
    <row r="30" spans="2:20">
      <c r="B30" s="87" t="s">
        <v>113</v>
      </c>
      <c r="C30" s="119">
        <f>F22</f>
        <v>361000</v>
      </c>
      <c r="D30" s="119">
        <f>F23</f>
        <v>296100</v>
      </c>
      <c r="E30" s="119">
        <f>F24</f>
        <v>296100</v>
      </c>
    </row>
    <row r="31" spans="2:20">
      <c r="B31" s="87" t="s">
        <v>257</v>
      </c>
      <c r="C31" s="142">
        <f>F19</f>
        <v>2.2562500000000001</v>
      </c>
      <c r="D31" s="142">
        <f>L19</f>
        <v>1.850625</v>
      </c>
      <c r="E31" s="142">
        <f>R19</f>
        <v>1.850625</v>
      </c>
    </row>
    <row r="37" spans="2:5">
      <c r="B37" s="207" t="s">
        <v>112</v>
      </c>
      <c r="C37" s="14" t="s">
        <v>252</v>
      </c>
      <c r="D37" s="14" t="s">
        <v>253</v>
      </c>
      <c r="E37" s="14" t="s">
        <v>254</v>
      </c>
    </row>
    <row r="38" spans="2:5">
      <c r="B38" s="212" t="s">
        <v>258</v>
      </c>
      <c r="C38" s="213">
        <f>SUM(E9:E11)</f>
        <v>801000</v>
      </c>
      <c r="D38" s="213">
        <f>SUM(K9:K11)</f>
        <v>704900</v>
      </c>
      <c r="E38" s="213">
        <f>SUM(Q9:Q11)</f>
        <v>704900</v>
      </c>
    </row>
    <row r="39" spans="2:5">
      <c r="B39" s="204" t="s">
        <v>259</v>
      </c>
      <c r="C39" s="205">
        <f>SUM(E12:E14)</f>
        <v>420000</v>
      </c>
      <c r="D39" s="205">
        <f>SUM(K12:K14)</f>
        <v>398100</v>
      </c>
      <c r="E39" s="205">
        <f>SUM(Q12:Q14)</f>
        <v>398100</v>
      </c>
    </row>
    <row r="40" spans="2:5">
      <c r="B40" s="202" t="s">
        <v>83</v>
      </c>
      <c r="C40" s="203">
        <f>SUM(E15:E17)</f>
        <v>279000</v>
      </c>
      <c r="D40" s="203">
        <f>SUM(K15:K17)</f>
        <v>399000</v>
      </c>
      <c r="E40" s="203">
        <f>SUM(Q15:Q17)</f>
        <v>399000</v>
      </c>
    </row>
    <row r="41" spans="2:5">
      <c r="B41" s="206" t="s">
        <v>219</v>
      </c>
      <c r="C41" s="208">
        <f>SUM(C38:C40)</f>
        <v>1500000</v>
      </c>
      <c r="D41" s="208">
        <f t="shared" ref="D41:E41" si="21">SUM(D38:D40)</f>
        <v>1502000</v>
      </c>
      <c r="E41" s="208">
        <f t="shared" si="21"/>
        <v>1502000</v>
      </c>
    </row>
    <row r="44" spans="2:5">
      <c r="B44" s="207" t="s">
        <v>260</v>
      </c>
      <c r="C44" s="14" t="s">
        <v>252</v>
      </c>
      <c r="D44" s="14" t="s">
        <v>253</v>
      </c>
      <c r="E44" s="14" t="s">
        <v>254</v>
      </c>
    </row>
    <row r="45" spans="2:5">
      <c r="B45" s="212" t="s">
        <v>258</v>
      </c>
      <c r="C45" s="213">
        <f>SUM(E9:F11)</f>
        <v>877000</v>
      </c>
      <c r="D45" s="213">
        <f>SUM(K9:L11)</f>
        <v>776600</v>
      </c>
      <c r="E45" s="213">
        <f>SUM(Q9:R11)</f>
        <v>776600</v>
      </c>
    </row>
    <row r="46" spans="2:5">
      <c r="B46" s="204" t="s">
        <v>259</v>
      </c>
      <c r="C46" s="205">
        <f>SUM(E12:F14)</f>
        <v>468000</v>
      </c>
      <c r="D46" s="205">
        <f>SUM(K12:L14)</f>
        <v>445500</v>
      </c>
      <c r="E46" s="205">
        <f>SUM(Q12:R14)</f>
        <v>445500</v>
      </c>
    </row>
    <row r="47" spans="2:5">
      <c r="B47" s="202" t="s">
        <v>83</v>
      </c>
      <c r="C47" s="203">
        <f>SUM(E15:F17)</f>
        <v>516000</v>
      </c>
      <c r="D47" s="203">
        <f>SUM(K15:L17)</f>
        <v>576000</v>
      </c>
      <c r="E47" s="203">
        <f>SUM(Q15:R17)</f>
        <v>576000</v>
      </c>
    </row>
    <row r="48" spans="2:5">
      <c r="B48" s="206" t="s">
        <v>219</v>
      </c>
      <c r="C48" s="208">
        <f>SUM(C45:C47)</f>
        <v>1861000</v>
      </c>
      <c r="D48" s="208">
        <f t="shared" ref="D48" si="22">SUM(D45:D47)</f>
        <v>1798100</v>
      </c>
      <c r="E48" s="208">
        <f t="shared" ref="E48" si="23">SUM(E45:E47)</f>
        <v>1798100</v>
      </c>
    </row>
  </sheetData>
  <mergeCells count="3">
    <mergeCell ref="C7:F7"/>
    <mergeCell ref="I7:L7"/>
    <mergeCell ref="O7:R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codeName="Sheet5" enableFormatConditionsCalculation="0">
    <pageSetUpPr fitToPage="1"/>
  </sheetPr>
  <dimension ref="B1:X58"/>
  <sheetViews>
    <sheetView workbookViewId="0">
      <selection activeCell="M24" sqref="M24"/>
    </sheetView>
  </sheetViews>
  <sheetFormatPr defaultColWidth="8.85546875" defaultRowHeight="12.75"/>
  <cols>
    <col min="1" max="2" width="19.140625" style="26" customWidth="1"/>
    <col min="3" max="3" width="25.42578125" style="26" customWidth="1"/>
    <col min="4" max="4" width="39" style="26" customWidth="1"/>
    <col min="5" max="5" width="15.28515625" style="26" customWidth="1"/>
    <col min="6" max="6" width="14" style="26" customWidth="1"/>
    <col min="7" max="7" width="11.42578125" style="26" customWidth="1"/>
    <col min="8" max="8" width="3.28515625" style="26" customWidth="1"/>
    <col min="9" max="9" width="18.42578125" style="26" customWidth="1"/>
    <col min="10" max="10" width="32.7109375" style="26" customWidth="1"/>
    <col min="11" max="11" width="15.28515625" style="26" customWidth="1"/>
    <col min="12" max="12" width="14" style="26" customWidth="1"/>
    <col min="13" max="13" width="11.42578125" style="26" customWidth="1"/>
    <col min="14" max="14" width="12.7109375" style="26" customWidth="1"/>
    <col min="15" max="15" width="11" style="26" customWidth="1"/>
    <col min="16" max="16" width="4.42578125" style="26" customWidth="1"/>
    <col min="17" max="17" width="8.85546875" style="26"/>
    <col min="18" max="18" width="18.42578125" style="26" customWidth="1"/>
    <col min="19" max="19" width="23" style="26" customWidth="1"/>
    <col min="20" max="20" width="15.28515625" style="26" customWidth="1"/>
    <col min="21" max="21" width="14" style="26" customWidth="1"/>
    <col min="22" max="22" width="11.42578125" style="26" customWidth="1"/>
    <col min="23" max="23" width="12.7109375" style="26" customWidth="1"/>
    <col min="24" max="24" width="11" style="26" customWidth="1"/>
    <col min="25" max="25" width="8.85546875" style="26"/>
    <col min="26" max="26" width="10.7109375" style="26" customWidth="1"/>
    <col min="27" max="27" width="10.85546875" style="26" customWidth="1"/>
    <col min="28" max="16384" width="8.85546875" style="26"/>
  </cols>
  <sheetData>
    <row r="1" spans="2:24" ht="23.25">
      <c r="B1" s="80" t="s">
        <v>198</v>
      </c>
    </row>
    <row r="2" spans="2:24" ht="15">
      <c r="B2" s="47" t="str">
        <f>'Table of Contents'!B2</f>
        <v>Final Draft - November 18, 2011</v>
      </c>
    </row>
    <row r="3" spans="2:24" ht="15">
      <c r="B3" s="50"/>
      <c r="E3" s="60" t="s">
        <v>145</v>
      </c>
    </row>
    <row r="4" spans="2:24" ht="15">
      <c r="C4" s="25" t="s">
        <v>54</v>
      </c>
      <c r="E4" s="61">
        <v>160000</v>
      </c>
      <c r="I4" s="25" t="s">
        <v>55</v>
      </c>
      <c r="N4" s="27">
        <f>M20</f>
        <v>2.4799999999999991</v>
      </c>
      <c r="O4" s="28" t="s">
        <v>56</v>
      </c>
      <c r="R4" s="25" t="s">
        <v>57</v>
      </c>
      <c r="W4" s="29">
        <f>V19</f>
        <v>1.2800000000000002</v>
      </c>
      <c r="X4" s="30" t="s">
        <v>56</v>
      </c>
    </row>
    <row r="6" spans="2:24" ht="64.5" customHeight="1">
      <c r="C6" s="31" t="s">
        <v>58</v>
      </c>
      <c r="D6" s="31" t="s">
        <v>59</v>
      </c>
      <c r="E6" s="31" t="s">
        <v>60</v>
      </c>
      <c r="F6" s="31" t="s">
        <v>61</v>
      </c>
      <c r="G6" s="31" t="s">
        <v>62</v>
      </c>
      <c r="I6" s="31" t="s">
        <v>58</v>
      </c>
      <c r="J6" s="31" t="s">
        <v>59</v>
      </c>
      <c r="K6" s="31" t="s">
        <v>60</v>
      </c>
      <c r="L6" s="31" t="s">
        <v>61</v>
      </c>
      <c r="M6" s="31" t="s">
        <v>62</v>
      </c>
      <c r="N6" s="31" t="s">
        <v>63</v>
      </c>
      <c r="O6" s="31" t="s">
        <v>64</v>
      </c>
      <c r="R6" s="31" t="s">
        <v>58</v>
      </c>
      <c r="S6" s="31" t="s">
        <v>59</v>
      </c>
      <c r="T6" s="31" t="s">
        <v>60</v>
      </c>
      <c r="U6" s="31" t="s">
        <v>61</v>
      </c>
      <c r="V6" s="31" t="s">
        <v>62</v>
      </c>
      <c r="W6" s="31" t="s">
        <v>63</v>
      </c>
      <c r="X6" s="31" t="s">
        <v>64</v>
      </c>
    </row>
    <row r="7" spans="2:24">
      <c r="C7" s="32" t="s">
        <v>65</v>
      </c>
      <c r="D7" s="32" t="s">
        <v>146</v>
      </c>
      <c r="E7" s="36">
        <v>0.6</v>
      </c>
      <c r="F7" s="36">
        <v>0.2</v>
      </c>
      <c r="G7" s="33">
        <f t="shared" ref="G7:G19" si="0">SUM(E7:F7)</f>
        <v>0.8</v>
      </c>
      <c r="I7" s="32" t="s">
        <v>65</v>
      </c>
      <c r="J7" s="32" t="s">
        <v>66</v>
      </c>
      <c r="K7" s="33">
        <v>0.4</v>
      </c>
      <c r="L7" s="33">
        <v>0.4</v>
      </c>
      <c r="M7" s="33">
        <f t="shared" ref="M7:M19" si="1">SUM(K7:L7)</f>
        <v>0.8</v>
      </c>
      <c r="N7" s="32"/>
      <c r="O7" s="32"/>
      <c r="R7" s="32" t="s">
        <v>65</v>
      </c>
      <c r="S7" s="32" t="s">
        <v>66</v>
      </c>
      <c r="T7" s="33">
        <v>0.2</v>
      </c>
      <c r="U7" s="33">
        <v>0.1</v>
      </c>
      <c r="V7" s="33">
        <f t="shared" ref="V7:V17" si="2">SUM(T7:U7)</f>
        <v>0.30000000000000004</v>
      </c>
      <c r="W7" s="32"/>
      <c r="X7" s="32"/>
    </row>
    <row r="8" spans="2:24">
      <c r="C8" s="32" t="s">
        <v>67</v>
      </c>
      <c r="D8" s="32" t="s">
        <v>68</v>
      </c>
      <c r="E8" s="36">
        <v>0.2</v>
      </c>
      <c r="F8" s="36">
        <v>0.25</v>
      </c>
      <c r="G8" s="33">
        <f t="shared" si="0"/>
        <v>0.45</v>
      </c>
      <c r="I8" s="32" t="s">
        <v>67</v>
      </c>
      <c r="J8" s="32" t="s">
        <v>68</v>
      </c>
      <c r="K8" s="33">
        <v>0.3</v>
      </c>
      <c r="L8" s="33">
        <v>0.2</v>
      </c>
      <c r="M8" s="33">
        <f t="shared" si="1"/>
        <v>0.5</v>
      </c>
      <c r="N8" s="32"/>
      <c r="O8" s="32"/>
      <c r="R8" s="32" t="s">
        <v>67</v>
      </c>
      <c r="S8" s="32" t="s">
        <v>68</v>
      </c>
      <c r="T8" s="33">
        <v>0.15</v>
      </c>
      <c r="U8" s="33">
        <v>0.25</v>
      </c>
      <c r="V8" s="33">
        <f t="shared" si="2"/>
        <v>0.4</v>
      </c>
      <c r="W8" s="32"/>
      <c r="X8" s="32"/>
    </row>
    <row r="9" spans="2:24">
      <c r="C9" s="32" t="s">
        <v>69</v>
      </c>
      <c r="D9" s="32" t="s">
        <v>70</v>
      </c>
      <c r="E9" s="36">
        <v>0.254</v>
      </c>
      <c r="F9" s="36">
        <v>0.35</v>
      </c>
      <c r="G9" s="33">
        <f t="shared" si="0"/>
        <v>0.60399999999999998</v>
      </c>
      <c r="I9" s="32" t="s">
        <v>69</v>
      </c>
      <c r="J9" s="32" t="s">
        <v>70</v>
      </c>
      <c r="K9" s="33">
        <v>0.33</v>
      </c>
      <c r="L9" s="33">
        <v>0.33</v>
      </c>
      <c r="M9" s="33">
        <f t="shared" si="1"/>
        <v>0.66</v>
      </c>
      <c r="N9" s="32"/>
      <c r="O9" s="32"/>
      <c r="R9" s="32" t="s">
        <v>69</v>
      </c>
      <c r="S9" s="32" t="s">
        <v>70</v>
      </c>
      <c r="T9" s="33">
        <v>0.15</v>
      </c>
      <c r="U9" s="33">
        <v>0.15</v>
      </c>
      <c r="V9" s="33">
        <f t="shared" si="2"/>
        <v>0.3</v>
      </c>
      <c r="W9" s="32"/>
      <c r="X9" s="32"/>
    </row>
    <row r="10" spans="2:24">
      <c r="C10" s="34" t="s">
        <v>71</v>
      </c>
      <c r="D10" s="34" t="s">
        <v>72</v>
      </c>
      <c r="E10" s="35">
        <v>0</v>
      </c>
      <c r="F10" s="33">
        <v>0.01</v>
      </c>
      <c r="G10" s="35">
        <f t="shared" si="0"/>
        <v>0.01</v>
      </c>
      <c r="I10" s="34" t="s">
        <v>71</v>
      </c>
      <c r="J10" s="34" t="s">
        <v>72</v>
      </c>
      <c r="K10" s="35">
        <v>0</v>
      </c>
      <c r="L10" s="33">
        <v>0.01</v>
      </c>
      <c r="M10" s="35">
        <f t="shared" si="1"/>
        <v>0.01</v>
      </c>
      <c r="N10" s="32"/>
      <c r="O10" s="32"/>
      <c r="R10" s="34" t="s">
        <v>71</v>
      </c>
      <c r="S10" s="34" t="s">
        <v>72</v>
      </c>
      <c r="T10" s="35">
        <v>0</v>
      </c>
      <c r="U10" s="33">
        <v>0.02</v>
      </c>
      <c r="V10" s="35">
        <f t="shared" si="2"/>
        <v>0.02</v>
      </c>
      <c r="W10" s="32"/>
      <c r="X10" s="32"/>
    </row>
    <row r="11" spans="2:24">
      <c r="C11" s="34" t="s">
        <v>73</v>
      </c>
      <c r="D11" s="32" t="s">
        <v>2</v>
      </c>
      <c r="E11" s="35">
        <v>0</v>
      </c>
      <c r="F11" s="33">
        <v>0.01</v>
      </c>
      <c r="G11" s="35">
        <f t="shared" si="0"/>
        <v>0.01</v>
      </c>
      <c r="I11" s="34" t="s">
        <v>73</v>
      </c>
      <c r="J11" s="32" t="s">
        <v>2</v>
      </c>
      <c r="K11" s="35">
        <v>0</v>
      </c>
      <c r="L11" s="33">
        <v>0.01</v>
      </c>
      <c r="M11" s="35">
        <f t="shared" si="1"/>
        <v>0.01</v>
      </c>
      <c r="N11" s="32"/>
      <c r="O11" s="32"/>
      <c r="R11" s="34" t="s">
        <v>3</v>
      </c>
      <c r="S11" s="32" t="s">
        <v>2</v>
      </c>
      <c r="T11" s="35">
        <v>0</v>
      </c>
      <c r="U11" s="33">
        <v>0.05</v>
      </c>
      <c r="V11" s="35">
        <f t="shared" si="2"/>
        <v>0.05</v>
      </c>
      <c r="W11" s="32"/>
      <c r="X11" s="32"/>
    </row>
    <row r="12" spans="2:24">
      <c r="C12" s="34" t="s">
        <v>4</v>
      </c>
      <c r="D12" s="32" t="s">
        <v>5</v>
      </c>
      <c r="E12" s="35">
        <v>0.04</v>
      </c>
      <c r="F12" s="33">
        <v>0</v>
      </c>
      <c r="G12" s="35">
        <f t="shared" si="0"/>
        <v>0.04</v>
      </c>
      <c r="I12" s="34" t="s">
        <v>4</v>
      </c>
      <c r="J12" s="32" t="s">
        <v>5</v>
      </c>
      <c r="K12" s="35">
        <v>0.04</v>
      </c>
      <c r="L12" s="33">
        <v>0</v>
      </c>
      <c r="M12" s="35">
        <f t="shared" si="1"/>
        <v>0.04</v>
      </c>
      <c r="N12" s="32"/>
      <c r="O12" s="32"/>
      <c r="R12" s="34" t="s">
        <v>244</v>
      </c>
      <c r="S12" s="32" t="s">
        <v>6</v>
      </c>
      <c r="T12" s="35">
        <v>0</v>
      </c>
      <c r="U12" s="33">
        <v>0.02</v>
      </c>
      <c r="V12" s="35">
        <f t="shared" si="2"/>
        <v>0.02</v>
      </c>
      <c r="W12" s="32"/>
      <c r="X12" s="32"/>
    </row>
    <row r="13" spans="2:24">
      <c r="C13" s="34" t="s">
        <v>244</v>
      </c>
      <c r="D13" s="32" t="s">
        <v>6</v>
      </c>
      <c r="E13" s="35">
        <v>0</v>
      </c>
      <c r="F13" s="33">
        <v>0.02</v>
      </c>
      <c r="G13" s="35">
        <f t="shared" si="0"/>
        <v>0.02</v>
      </c>
      <c r="I13" s="34" t="s">
        <v>244</v>
      </c>
      <c r="J13" s="32" t="s">
        <v>6</v>
      </c>
      <c r="K13" s="35">
        <v>0</v>
      </c>
      <c r="L13" s="33">
        <v>0.02</v>
      </c>
      <c r="M13" s="35">
        <f t="shared" si="1"/>
        <v>0.02</v>
      </c>
      <c r="N13" s="32"/>
      <c r="O13" s="32"/>
      <c r="R13" s="32" t="s">
        <v>7</v>
      </c>
      <c r="S13" s="32" t="s">
        <v>8</v>
      </c>
      <c r="T13" s="33">
        <v>0.05</v>
      </c>
      <c r="U13" s="33">
        <v>0</v>
      </c>
      <c r="V13" s="33">
        <f t="shared" si="2"/>
        <v>0.05</v>
      </c>
      <c r="W13" s="32"/>
      <c r="X13" s="32"/>
    </row>
    <row r="14" spans="2:24">
      <c r="C14" s="34" t="s">
        <v>9</v>
      </c>
      <c r="D14" s="32" t="s">
        <v>245</v>
      </c>
      <c r="E14" s="35">
        <v>0.05</v>
      </c>
      <c r="F14" s="33">
        <v>0</v>
      </c>
      <c r="G14" s="35">
        <f t="shared" si="0"/>
        <v>0.05</v>
      </c>
      <c r="I14" s="34" t="s">
        <v>9</v>
      </c>
      <c r="J14" s="32" t="s">
        <v>245</v>
      </c>
      <c r="K14" s="35">
        <v>0.05</v>
      </c>
      <c r="L14" s="33">
        <v>0</v>
      </c>
      <c r="M14" s="35">
        <f t="shared" si="1"/>
        <v>0.05</v>
      </c>
      <c r="N14" s="32"/>
      <c r="O14" s="32"/>
      <c r="R14" s="32" t="s">
        <v>10</v>
      </c>
      <c r="S14" s="32" t="s">
        <v>11</v>
      </c>
      <c r="T14" s="33">
        <v>0.1</v>
      </c>
      <c r="U14" s="33">
        <v>0</v>
      </c>
      <c r="V14" s="33">
        <f t="shared" si="2"/>
        <v>0.1</v>
      </c>
      <c r="W14" s="32"/>
      <c r="X14" s="32"/>
    </row>
    <row r="15" spans="2:24">
      <c r="C15" s="32" t="s">
        <v>7</v>
      </c>
      <c r="D15" s="32" t="s">
        <v>8</v>
      </c>
      <c r="E15" s="33">
        <v>0.1</v>
      </c>
      <c r="F15" s="33">
        <v>0</v>
      </c>
      <c r="G15" s="33">
        <f t="shared" si="0"/>
        <v>0.1</v>
      </c>
      <c r="I15" s="32" t="s">
        <v>7</v>
      </c>
      <c r="J15" s="32" t="s">
        <v>8</v>
      </c>
      <c r="K15" s="33">
        <v>0.05</v>
      </c>
      <c r="L15" s="33">
        <v>0</v>
      </c>
      <c r="M15" s="33">
        <f t="shared" si="1"/>
        <v>0.05</v>
      </c>
      <c r="N15" s="32"/>
      <c r="O15" s="32"/>
      <c r="R15" s="32" t="s">
        <v>12</v>
      </c>
      <c r="S15" s="32" t="s">
        <v>13</v>
      </c>
      <c r="T15" s="33">
        <v>0.01</v>
      </c>
      <c r="U15" s="33">
        <v>0</v>
      </c>
      <c r="V15" s="33">
        <f t="shared" si="2"/>
        <v>0.01</v>
      </c>
      <c r="W15" s="32"/>
      <c r="X15" s="32"/>
    </row>
    <row r="16" spans="2:24">
      <c r="C16" s="32" t="s">
        <v>14</v>
      </c>
      <c r="D16" s="32" t="s">
        <v>11</v>
      </c>
      <c r="E16" s="36">
        <v>0.12</v>
      </c>
      <c r="F16" s="36">
        <v>0</v>
      </c>
      <c r="G16" s="36">
        <f t="shared" si="0"/>
        <v>0.12</v>
      </c>
      <c r="I16" s="32" t="s">
        <v>14</v>
      </c>
      <c r="J16" s="32" t="s">
        <v>11</v>
      </c>
      <c r="K16" s="36">
        <v>0.15</v>
      </c>
      <c r="L16" s="36">
        <v>0</v>
      </c>
      <c r="M16" s="36">
        <f t="shared" si="1"/>
        <v>0.15</v>
      </c>
      <c r="N16" s="32"/>
      <c r="O16" s="32"/>
      <c r="R16" s="32" t="s">
        <v>15</v>
      </c>
      <c r="S16" s="32" t="s">
        <v>16</v>
      </c>
      <c r="T16" s="33">
        <v>0.01</v>
      </c>
      <c r="U16" s="33">
        <v>0</v>
      </c>
      <c r="V16" s="33">
        <f t="shared" si="2"/>
        <v>0.01</v>
      </c>
      <c r="W16" s="32"/>
      <c r="X16" s="32"/>
    </row>
    <row r="17" spans="3:24">
      <c r="C17" s="32" t="s">
        <v>12</v>
      </c>
      <c r="D17" s="32" t="s">
        <v>17</v>
      </c>
      <c r="E17" s="36">
        <v>7.0000000000000007E-2</v>
      </c>
      <c r="F17" s="36">
        <v>0</v>
      </c>
      <c r="G17" s="36">
        <f t="shared" si="0"/>
        <v>7.0000000000000007E-2</v>
      </c>
      <c r="I17" s="32" t="s">
        <v>12</v>
      </c>
      <c r="J17" s="32" t="s">
        <v>17</v>
      </c>
      <c r="K17" s="36">
        <v>7.0000000000000007E-2</v>
      </c>
      <c r="L17" s="36">
        <v>0</v>
      </c>
      <c r="M17" s="36">
        <f t="shared" si="1"/>
        <v>7.0000000000000007E-2</v>
      </c>
      <c r="N17" s="32"/>
      <c r="O17" s="32"/>
      <c r="R17" s="32" t="s">
        <v>18</v>
      </c>
      <c r="S17" s="32" t="s">
        <v>98</v>
      </c>
      <c r="T17" s="33">
        <v>0.02</v>
      </c>
      <c r="U17" s="33">
        <v>0</v>
      </c>
      <c r="V17" s="33">
        <f t="shared" si="2"/>
        <v>0.02</v>
      </c>
      <c r="W17" s="32"/>
      <c r="X17" s="32"/>
    </row>
    <row r="18" spans="3:24">
      <c r="C18" s="32" t="s">
        <v>15</v>
      </c>
      <c r="D18" s="32" t="s">
        <v>19</v>
      </c>
      <c r="E18" s="36">
        <v>0.05</v>
      </c>
      <c r="F18" s="36">
        <v>0</v>
      </c>
      <c r="G18" s="36">
        <f t="shared" si="0"/>
        <v>0.05</v>
      </c>
      <c r="I18" s="32" t="s">
        <v>15</v>
      </c>
      <c r="J18" s="32" t="s">
        <v>19</v>
      </c>
      <c r="K18" s="36">
        <v>0.09</v>
      </c>
      <c r="L18" s="36">
        <v>0</v>
      </c>
      <c r="M18" s="36">
        <f t="shared" si="1"/>
        <v>0.09</v>
      </c>
      <c r="N18" s="32"/>
      <c r="O18" s="32"/>
    </row>
    <row r="19" spans="3:24">
      <c r="C19" s="32" t="s">
        <v>18</v>
      </c>
      <c r="D19" s="32" t="s">
        <v>98</v>
      </c>
      <c r="E19" s="36">
        <v>0.03</v>
      </c>
      <c r="F19" s="36">
        <v>0</v>
      </c>
      <c r="G19" s="36">
        <f t="shared" si="0"/>
        <v>0.03</v>
      </c>
      <c r="I19" s="32" t="s">
        <v>18</v>
      </c>
      <c r="J19" s="32" t="s">
        <v>98</v>
      </c>
      <c r="K19" s="36">
        <v>0.03</v>
      </c>
      <c r="L19" s="36">
        <v>0</v>
      </c>
      <c r="M19" s="36">
        <f t="shared" si="1"/>
        <v>0.03</v>
      </c>
      <c r="N19" s="32"/>
      <c r="O19" s="32"/>
      <c r="T19" s="37">
        <f>SUM(T7:T17)</f>
        <v>0.69000000000000006</v>
      </c>
      <c r="U19" s="37">
        <f>SUM(U7:U17)</f>
        <v>0.59000000000000008</v>
      </c>
      <c r="V19" s="37">
        <f>SUM(V7:V17)</f>
        <v>1.2800000000000002</v>
      </c>
      <c r="W19" s="38">
        <f>100000*1.4</f>
        <v>140000</v>
      </c>
      <c r="X19" s="38">
        <f>W19*V19</f>
        <v>179200.00000000003</v>
      </c>
    </row>
    <row r="20" spans="3:24">
      <c r="D20" s="39" t="s">
        <v>56</v>
      </c>
      <c r="E20" s="40">
        <f>SUM(E7:E19)</f>
        <v>1.5140000000000005</v>
      </c>
      <c r="F20" s="40">
        <f t="shared" ref="F20:G20" si="3">SUM(F7:F19)</f>
        <v>0.84000000000000008</v>
      </c>
      <c r="G20" s="40">
        <f t="shared" si="3"/>
        <v>2.3539999999999996</v>
      </c>
      <c r="J20" s="41" t="s">
        <v>56</v>
      </c>
      <c r="K20" s="42">
        <f>SUM(K7:K19)</f>
        <v>1.5100000000000002</v>
      </c>
      <c r="L20" s="42">
        <f t="shared" ref="L20:M20" si="4">SUM(L7:L19)</f>
        <v>0.9700000000000002</v>
      </c>
      <c r="M20" s="42">
        <f t="shared" si="4"/>
        <v>2.4799999999999991</v>
      </c>
      <c r="N20" s="43">
        <v>160000</v>
      </c>
      <c r="O20" s="43">
        <f>N20*M20</f>
        <v>396799.99999999988</v>
      </c>
      <c r="T20" s="44">
        <f>T19/$V$19</f>
        <v>0.53906249999999989</v>
      </c>
      <c r="U20" s="44">
        <f>U19/$V$19</f>
        <v>0.4609375</v>
      </c>
    </row>
    <row r="21" spans="3:24" ht="15">
      <c r="E21" s="61">
        <f>E20*$E$4</f>
        <v>242240.00000000009</v>
      </c>
      <c r="F21" s="61">
        <f t="shared" ref="F21:G21" si="5">F20*$E$4</f>
        <v>134400</v>
      </c>
      <c r="G21" s="61">
        <f t="shared" si="5"/>
        <v>376639.99999999994</v>
      </c>
      <c r="K21" s="143">
        <f>K20*$N$20</f>
        <v>241600.00000000003</v>
      </c>
      <c r="L21" s="143">
        <f t="shared" ref="L21:M21" si="6">L20*$N$20</f>
        <v>155200.00000000003</v>
      </c>
      <c r="M21" s="143">
        <f t="shared" si="6"/>
        <v>396799.99999999988</v>
      </c>
      <c r="T21" s="45">
        <f>X19*U20</f>
        <v>82600.000000000015</v>
      </c>
      <c r="U21" s="45">
        <f>X19*T20</f>
        <v>96600</v>
      </c>
    </row>
    <row r="22" spans="3:24" ht="15" customHeight="1"/>
    <row r="23" spans="3:24" ht="15" customHeight="1"/>
    <row r="24" spans="3:24" ht="15" customHeight="1">
      <c r="D24" s="25" t="s">
        <v>20</v>
      </c>
    </row>
    <row r="25" spans="3:24" ht="53.25" customHeight="1">
      <c r="C25" s="31" t="s">
        <v>58</v>
      </c>
      <c r="D25" s="31" t="s">
        <v>59</v>
      </c>
      <c r="E25" s="31" t="s">
        <v>60</v>
      </c>
      <c r="F25" s="31" t="s">
        <v>61</v>
      </c>
      <c r="G25" s="31" t="s">
        <v>62</v>
      </c>
    </row>
    <row r="26" spans="3:24">
      <c r="C26" s="32" t="s">
        <v>65</v>
      </c>
      <c r="D26" s="32" t="s">
        <v>66</v>
      </c>
      <c r="E26" s="36">
        <v>0.6</v>
      </c>
      <c r="F26" s="36">
        <v>0.2</v>
      </c>
      <c r="G26" s="33">
        <f t="shared" ref="G26:G38" si="7">SUM(E26:F26)</f>
        <v>0.8</v>
      </c>
    </row>
    <row r="27" spans="3:24">
      <c r="C27" s="32" t="s">
        <v>67</v>
      </c>
      <c r="D27" s="32" t="s">
        <v>68</v>
      </c>
      <c r="E27" s="36">
        <v>0.08</v>
      </c>
      <c r="F27" s="36">
        <v>0.12</v>
      </c>
      <c r="G27" s="33">
        <f t="shared" si="7"/>
        <v>0.2</v>
      </c>
    </row>
    <row r="28" spans="3:24">
      <c r="C28" s="32" t="s">
        <v>69</v>
      </c>
      <c r="D28" s="32" t="s">
        <v>70</v>
      </c>
      <c r="E28" s="36">
        <v>0.08</v>
      </c>
      <c r="F28" s="36">
        <v>0.12</v>
      </c>
      <c r="G28" s="33">
        <f t="shared" si="7"/>
        <v>0.2</v>
      </c>
    </row>
    <row r="29" spans="3:24">
      <c r="C29" s="34" t="s">
        <v>71</v>
      </c>
      <c r="D29" s="34" t="s">
        <v>72</v>
      </c>
      <c r="E29" s="35">
        <v>0</v>
      </c>
      <c r="F29" s="33">
        <v>0.01</v>
      </c>
      <c r="G29" s="35">
        <f t="shared" si="7"/>
        <v>0.01</v>
      </c>
    </row>
    <row r="30" spans="3:24">
      <c r="C30" s="34" t="s">
        <v>73</v>
      </c>
      <c r="D30" s="32" t="s">
        <v>2</v>
      </c>
      <c r="E30" s="35">
        <v>0</v>
      </c>
      <c r="F30" s="33">
        <v>0.01</v>
      </c>
      <c r="G30" s="35">
        <f t="shared" si="7"/>
        <v>0.01</v>
      </c>
    </row>
    <row r="31" spans="3:24">
      <c r="C31" s="34" t="s">
        <v>4</v>
      </c>
      <c r="D31" s="32" t="s">
        <v>5</v>
      </c>
      <c r="E31" s="35">
        <v>0.04</v>
      </c>
      <c r="F31" s="33">
        <v>0</v>
      </c>
      <c r="G31" s="35">
        <f t="shared" si="7"/>
        <v>0.04</v>
      </c>
    </row>
    <row r="32" spans="3:24">
      <c r="C32" s="34" t="s">
        <v>244</v>
      </c>
      <c r="D32" s="32" t="s">
        <v>6</v>
      </c>
      <c r="E32" s="35">
        <v>0</v>
      </c>
      <c r="F32" s="33">
        <v>0.02</v>
      </c>
      <c r="G32" s="35">
        <f t="shared" si="7"/>
        <v>0.02</v>
      </c>
    </row>
    <row r="33" spans="3:7">
      <c r="C33" s="34" t="s">
        <v>9</v>
      </c>
      <c r="D33" s="32" t="s">
        <v>245</v>
      </c>
      <c r="E33" s="35">
        <v>0.05</v>
      </c>
      <c r="F33" s="33">
        <v>0</v>
      </c>
      <c r="G33" s="35">
        <f t="shared" si="7"/>
        <v>0.05</v>
      </c>
    </row>
    <row r="34" spans="3:7">
      <c r="C34" s="32" t="s">
        <v>7</v>
      </c>
      <c r="D34" s="32" t="s">
        <v>8</v>
      </c>
      <c r="E34" s="33">
        <v>0.1</v>
      </c>
      <c r="F34" s="33">
        <v>0</v>
      </c>
      <c r="G34" s="33">
        <f t="shared" si="7"/>
        <v>0.1</v>
      </c>
    </row>
    <row r="35" spans="3:7">
      <c r="C35" s="32" t="s">
        <v>14</v>
      </c>
      <c r="D35" s="32" t="s">
        <v>11</v>
      </c>
      <c r="E35" s="36">
        <v>0.12</v>
      </c>
      <c r="F35" s="36">
        <v>0</v>
      </c>
      <c r="G35" s="36">
        <f t="shared" si="7"/>
        <v>0.12</v>
      </c>
    </row>
    <row r="36" spans="3:7">
      <c r="C36" s="32" t="s">
        <v>12</v>
      </c>
      <c r="D36" s="32" t="s">
        <v>17</v>
      </c>
      <c r="E36" s="36">
        <v>7.0000000000000007E-2</v>
      </c>
      <c r="F36" s="36">
        <v>0</v>
      </c>
      <c r="G36" s="36">
        <f t="shared" si="7"/>
        <v>7.0000000000000007E-2</v>
      </c>
    </row>
    <row r="37" spans="3:7">
      <c r="C37" s="32" t="s">
        <v>15</v>
      </c>
      <c r="D37" s="32" t="s">
        <v>19</v>
      </c>
      <c r="E37" s="36">
        <v>0.05</v>
      </c>
      <c r="F37" s="36">
        <v>0</v>
      </c>
      <c r="G37" s="36">
        <f t="shared" si="7"/>
        <v>0.05</v>
      </c>
    </row>
    <row r="38" spans="3:7">
      <c r="C38" s="32" t="s">
        <v>18</v>
      </c>
      <c r="D38" s="32" t="s">
        <v>98</v>
      </c>
      <c r="E38" s="36">
        <v>0.03</v>
      </c>
      <c r="F38" s="36">
        <v>0</v>
      </c>
      <c r="G38" s="36">
        <f t="shared" si="7"/>
        <v>0.03</v>
      </c>
    </row>
    <row r="39" spans="3:7">
      <c r="D39" s="39" t="s">
        <v>56</v>
      </c>
      <c r="E39" s="46">
        <f>SUM(E26:E38)</f>
        <v>1.22</v>
      </c>
      <c r="F39" s="40">
        <f t="shared" ref="F39:G39" si="8">SUM(F26:F38)</f>
        <v>0.48000000000000004</v>
      </c>
      <c r="G39" s="40">
        <f t="shared" si="8"/>
        <v>1.7000000000000004</v>
      </c>
    </row>
    <row r="40" spans="3:7" ht="15">
      <c r="E40" s="61">
        <f>E39*$E$4</f>
        <v>195200</v>
      </c>
      <c r="F40" s="61">
        <f t="shared" ref="F40:G40" si="9">F39*$E$4</f>
        <v>76800</v>
      </c>
      <c r="G40" s="61">
        <f t="shared" si="9"/>
        <v>272000.00000000006</v>
      </c>
    </row>
    <row r="42" spans="3:7">
      <c r="D42" s="25" t="s">
        <v>21</v>
      </c>
    </row>
    <row r="43" spans="3:7" ht="54" customHeight="1">
      <c r="D43" s="31" t="s">
        <v>59</v>
      </c>
      <c r="E43" s="31" t="s">
        <v>60</v>
      </c>
      <c r="F43" s="31" t="s">
        <v>61</v>
      </c>
      <c r="G43" s="31" t="s">
        <v>62</v>
      </c>
    </row>
    <row r="44" spans="3:7">
      <c r="D44" s="32" t="s">
        <v>66</v>
      </c>
      <c r="E44" s="33">
        <f>E7-E26</f>
        <v>0</v>
      </c>
      <c r="F44" s="33">
        <f>F7-F26</f>
        <v>0</v>
      </c>
      <c r="G44" s="33">
        <f t="shared" ref="G44:G56" si="10">SUM(E44:F44)</f>
        <v>0</v>
      </c>
    </row>
    <row r="45" spans="3:7">
      <c r="D45" s="32" t="s">
        <v>68</v>
      </c>
      <c r="E45" s="33">
        <f t="shared" ref="E45:F56" si="11">E8-E27</f>
        <v>0.12000000000000001</v>
      </c>
      <c r="F45" s="33">
        <f t="shared" si="11"/>
        <v>0.13</v>
      </c>
      <c r="G45" s="33">
        <f t="shared" si="10"/>
        <v>0.25</v>
      </c>
    </row>
    <row r="46" spans="3:7">
      <c r="D46" s="32" t="s">
        <v>70</v>
      </c>
      <c r="E46" s="33">
        <f t="shared" si="11"/>
        <v>0.17399999999999999</v>
      </c>
      <c r="F46" s="33">
        <f t="shared" si="11"/>
        <v>0.22999999999999998</v>
      </c>
      <c r="G46" s="33">
        <f t="shared" si="10"/>
        <v>0.40399999999999997</v>
      </c>
    </row>
    <row r="47" spans="3:7">
      <c r="D47" s="34" t="s">
        <v>72</v>
      </c>
      <c r="E47" s="33">
        <f t="shared" si="11"/>
        <v>0</v>
      </c>
      <c r="F47" s="33">
        <f t="shared" si="11"/>
        <v>0</v>
      </c>
      <c r="G47" s="35">
        <f t="shared" si="10"/>
        <v>0</v>
      </c>
    </row>
    <row r="48" spans="3:7">
      <c r="D48" s="32" t="s">
        <v>2</v>
      </c>
      <c r="E48" s="33">
        <f t="shared" si="11"/>
        <v>0</v>
      </c>
      <c r="F48" s="33">
        <f t="shared" si="11"/>
        <v>0</v>
      </c>
      <c r="G48" s="35">
        <f t="shared" si="10"/>
        <v>0</v>
      </c>
    </row>
    <row r="49" spans="4:9">
      <c r="D49" s="32" t="s">
        <v>5</v>
      </c>
      <c r="E49" s="33">
        <f t="shared" si="11"/>
        <v>0</v>
      </c>
      <c r="F49" s="33">
        <f t="shared" si="11"/>
        <v>0</v>
      </c>
      <c r="G49" s="35">
        <f t="shared" si="10"/>
        <v>0</v>
      </c>
    </row>
    <row r="50" spans="4:9">
      <c r="D50" s="32" t="s">
        <v>6</v>
      </c>
      <c r="E50" s="33">
        <f t="shared" si="11"/>
        <v>0</v>
      </c>
      <c r="F50" s="33">
        <f t="shared" si="11"/>
        <v>0</v>
      </c>
      <c r="G50" s="35">
        <f t="shared" si="10"/>
        <v>0</v>
      </c>
    </row>
    <row r="51" spans="4:9">
      <c r="D51" s="32" t="s">
        <v>245</v>
      </c>
      <c r="E51" s="33">
        <f t="shared" si="11"/>
        <v>0</v>
      </c>
      <c r="F51" s="33">
        <f t="shared" si="11"/>
        <v>0</v>
      </c>
      <c r="G51" s="35">
        <f t="shared" si="10"/>
        <v>0</v>
      </c>
    </row>
    <row r="52" spans="4:9">
      <c r="D52" s="32" t="s">
        <v>8</v>
      </c>
      <c r="E52" s="33">
        <f t="shared" si="11"/>
        <v>0</v>
      </c>
      <c r="F52" s="33">
        <f t="shared" si="11"/>
        <v>0</v>
      </c>
      <c r="G52" s="33">
        <f t="shared" si="10"/>
        <v>0</v>
      </c>
    </row>
    <row r="53" spans="4:9">
      <c r="D53" s="32" t="s">
        <v>11</v>
      </c>
      <c r="E53" s="33">
        <f t="shared" si="11"/>
        <v>0</v>
      </c>
      <c r="F53" s="33">
        <f t="shared" si="11"/>
        <v>0</v>
      </c>
      <c r="G53" s="36">
        <f t="shared" si="10"/>
        <v>0</v>
      </c>
    </row>
    <row r="54" spans="4:9">
      <c r="D54" s="32" t="s">
        <v>17</v>
      </c>
      <c r="E54" s="33">
        <f t="shared" si="11"/>
        <v>0</v>
      </c>
      <c r="F54" s="33">
        <f t="shared" si="11"/>
        <v>0</v>
      </c>
      <c r="G54" s="36">
        <f t="shared" si="10"/>
        <v>0</v>
      </c>
    </row>
    <row r="55" spans="4:9">
      <c r="D55" s="32" t="s">
        <v>19</v>
      </c>
      <c r="E55" s="33">
        <f t="shared" si="11"/>
        <v>0</v>
      </c>
      <c r="F55" s="33">
        <f t="shared" si="11"/>
        <v>0</v>
      </c>
      <c r="G55" s="36">
        <f t="shared" si="10"/>
        <v>0</v>
      </c>
    </row>
    <row r="56" spans="4:9">
      <c r="D56" s="32" t="s">
        <v>98</v>
      </c>
      <c r="E56" s="33">
        <f t="shared" si="11"/>
        <v>0</v>
      </c>
      <c r="F56" s="33">
        <f t="shared" si="11"/>
        <v>0</v>
      </c>
      <c r="G56" s="36">
        <f t="shared" si="10"/>
        <v>0</v>
      </c>
    </row>
    <row r="57" spans="4:9">
      <c r="D57" s="39" t="s">
        <v>56</v>
      </c>
      <c r="E57" s="46">
        <f>SUM(E44:E56)</f>
        <v>0.29399999999999998</v>
      </c>
      <c r="F57" s="40">
        <f t="shared" ref="F57:G57" si="12">SUM(F44:F56)</f>
        <v>0.36</v>
      </c>
      <c r="G57" s="40">
        <f t="shared" si="12"/>
        <v>0.65399999999999991</v>
      </c>
      <c r="I57" s="62" t="s">
        <v>91</v>
      </c>
    </row>
    <row r="58" spans="4:9" ht="15">
      <c r="G58" s="61">
        <f>G57*$I$58</f>
        <v>104639.99999999999</v>
      </c>
      <c r="I58" s="61">
        <v>160000</v>
      </c>
    </row>
  </sheetData>
  <phoneticPr fontId="20" type="noConversion"/>
  <pageMargins left="0.75" right="0.75" top="1" bottom="1" header="0.5" footer="0.5"/>
  <headerFooter alignWithMargins="0"/>
  <drawing r:id="rId1"/>
  <legacy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sheetPr codeName="Sheet6"/>
  <dimension ref="B1:S59"/>
  <sheetViews>
    <sheetView topLeftCell="A21" workbookViewId="0">
      <selection activeCell="F39" sqref="F39"/>
    </sheetView>
  </sheetViews>
  <sheetFormatPr defaultColWidth="8.85546875" defaultRowHeight="15"/>
  <cols>
    <col min="2" max="2" width="55" customWidth="1"/>
    <col min="3" max="3" width="13.7109375" customWidth="1"/>
    <col min="9" max="9" width="9.42578125" customWidth="1"/>
    <col min="10" max="10" width="9.5703125" customWidth="1"/>
  </cols>
  <sheetData>
    <row r="1" spans="2:19" ht="23.25">
      <c r="B1" s="80" t="s">
        <v>200</v>
      </c>
    </row>
    <row r="2" spans="2:19">
      <c r="B2" s="47" t="str">
        <f>'Table of Contents'!B2</f>
        <v>Final Draft - November 18, 2011</v>
      </c>
    </row>
    <row r="3" spans="2:19">
      <c r="C3" s="50"/>
    </row>
    <row r="9" spans="2:19" ht="60">
      <c r="B9" s="54" t="s">
        <v>246</v>
      </c>
      <c r="C9" s="54" t="s">
        <v>140</v>
      </c>
      <c r="D9" s="54" t="s">
        <v>24</v>
      </c>
      <c r="E9" s="55"/>
      <c r="F9" s="55"/>
      <c r="G9" s="55"/>
      <c r="H9" s="55"/>
      <c r="I9" s="55"/>
      <c r="J9" s="55"/>
      <c r="K9" s="55"/>
      <c r="L9" s="55"/>
      <c r="M9" s="55"/>
      <c r="N9" s="55"/>
      <c r="O9" s="50"/>
      <c r="P9" s="91" t="s">
        <v>116</v>
      </c>
      <c r="Q9" s="91" t="s">
        <v>47</v>
      </c>
      <c r="R9" s="91" t="s">
        <v>48</v>
      </c>
      <c r="S9" s="50"/>
    </row>
    <row r="10" spans="2:19">
      <c r="B10" t="s">
        <v>247</v>
      </c>
      <c r="C10" s="3">
        <v>8000</v>
      </c>
      <c r="D10" s="56" t="s">
        <v>137</v>
      </c>
      <c r="E10" s="56"/>
      <c r="F10" s="56"/>
      <c r="G10" s="56"/>
      <c r="H10" s="56"/>
      <c r="I10" s="56"/>
      <c r="J10" s="56"/>
      <c r="K10" s="56"/>
      <c r="L10" s="57"/>
      <c r="M10" s="57"/>
      <c r="N10" s="57"/>
      <c r="O10" s="90"/>
      <c r="P10" s="53">
        <v>6000</v>
      </c>
      <c r="Q10" s="53">
        <v>1000</v>
      </c>
      <c r="R10" s="53">
        <v>1000</v>
      </c>
      <c r="S10" s="50"/>
    </row>
    <row r="11" spans="2:19">
      <c r="B11" t="s">
        <v>123</v>
      </c>
      <c r="C11" s="3">
        <v>3000</v>
      </c>
      <c r="D11" s="56" t="s">
        <v>141</v>
      </c>
      <c r="E11" s="58"/>
      <c r="F11" s="58"/>
      <c r="G11" s="58"/>
      <c r="H11" s="58"/>
      <c r="I11" s="58"/>
      <c r="J11" s="58"/>
      <c r="K11" s="58"/>
      <c r="L11" s="59"/>
      <c r="M11" s="59"/>
      <c r="N11" s="59"/>
      <c r="O11" s="50"/>
      <c r="P11" s="53">
        <v>2000</v>
      </c>
      <c r="Q11" s="53">
        <v>1000</v>
      </c>
      <c r="R11" s="53"/>
      <c r="S11" s="50"/>
    </row>
    <row r="12" spans="2:19">
      <c r="B12" t="s">
        <v>248</v>
      </c>
      <c r="C12" s="3">
        <v>8000</v>
      </c>
      <c r="D12" s="56" t="s">
        <v>142</v>
      </c>
      <c r="E12" s="59"/>
      <c r="F12" s="59"/>
      <c r="G12" s="59"/>
      <c r="H12" s="59"/>
      <c r="I12" s="59"/>
      <c r="J12" s="59"/>
      <c r="K12" s="59"/>
      <c r="L12" s="59"/>
      <c r="M12" s="59"/>
      <c r="N12" s="59"/>
      <c r="O12" s="50"/>
      <c r="P12" s="53">
        <v>4000</v>
      </c>
      <c r="Q12" s="7">
        <v>2000</v>
      </c>
      <c r="R12" s="7">
        <v>2000</v>
      </c>
      <c r="S12" s="50"/>
    </row>
    <row r="13" spans="2:19">
      <c r="B13" t="s">
        <v>122</v>
      </c>
      <c r="C13" s="3">
        <v>20000</v>
      </c>
      <c r="D13" s="56" t="s">
        <v>249</v>
      </c>
      <c r="E13" s="59"/>
      <c r="F13" s="59"/>
      <c r="G13" s="59"/>
      <c r="H13" s="59"/>
      <c r="I13" s="59"/>
      <c r="J13" s="59"/>
      <c r="K13" s="59"/>
      <c r="L13" s="59"/>
      <c r="M13" s="59"/>
      <c r="N13" s="59"/>
      <c r="O13" s="50"/>
      <c r="P13" s="51">
        <v>12000</v>
      </c>
      <c r="Q13" s="51">
        <v>6000</v>
      </c>
      <c r="R13" s="51">
        <v>2000</v>
      </c>
      <c r="S13" s="50"/>
    </row>
    <row r="14" spans="2:19">
      <c r="B14" t="s">
        <v>166</v>
      </c>
      <c r="C14" s="3">
        <v>50000</v>
      </c>
      <c r="D14" s="56" t="s">
        <v>127</v>
      </c>
      <c r="E14" s="59"/>
      <c r="F14" s="59"/>
      <c r="G14" s="59"/>
      <c r="H14" s="59"/>
      <c r="I14" s="59"/>
      <c r="J14" s="59"/>
      <c r="K14" s="59"/>
      <c r="L14" s="59"/>
      <c r="M14" s="59"/>
      <c r="N14" s="59"/>
      <c r="O14" s="50"/>
      <c r="P14" s="51">
        <v>40000</v>
      </c>
      <c r="Q14" s="51">
        <v>6000</v>
      </c>
      <c r="R14" s="51">
        <v>3000</v>
      </c>
      <c r="S14" s="50"/>
    </row>
    <row r="15" spans="2:19">
      <c r="C15" s="3"/>
      <c r="D15" s="56"/>
      <c r="E15" s="58"/>
      <c r="F15" s="58"/>
      <c r="G15" s="58"/>
      <c r="H15" s="58"/>
      <c r="I15" s="58"/>
      <c r="J15" s="58"/>
      <c r="K15" s="58"/>
      <c r="L15" s="59"/>
      <c r="M15" s="59"/>
      <c r="N15" s="59"/>
      <c r="O15" s="50"/>
      <c r="P15" s="53"/>
      <c r="Q15" s="53"/>
      <c r="R15" s="53"/>
      <c r="S15" s="50"/>
    </row>
    <row r="16" spans="2:19">
      <c r="B16" t="s">
        <v>130</v>
      </c>
      <c r="C16" s="3">
        <v>23000</v>
      </c>
      <c r="D16" s="56" t="s">
        <v>126</v>
      </c>
      <c r="E16" s="58"/>
      <c r="F16" s="58"/>
      <c r="G16" s="58"/>
      <c r="H16" s="58"/>
      <c r="I16" s="58"/>
      <c r="J16" s="58"/>
      <c r="K16" s="58"/>
      <c r="L16" s="59"/>
      <c r="M16" s="59"/>
      <c r="N16" s="59"/>
      <c r="O16" s="50"/>
      <c r="P16" s="51">
        <v>15000</v>
      </c>
      <c r="Q16" s="51">
        <v>6000</v>
      </c>
      <c r="R16" s="51">
        <v>2000</v>
      </c>
      <c r="S16" s="50"/>
    </row>
    <row r="17" spans="2:19">
      <c r="B17" t="s">
        <v>250</v>
      </c>
      <c r="C17" s="3">
        <v>60000</v>
      </c>
      <c r="D17" s="56" t="s">
        <v>131</v>
      </c>
      <c r="E17" s="59"/>
      <c r="F17" s="59"/>
      <c r="G17" s="59"/>
      <c r="H17" s="59"/>
      <c r="I17" s="59"/>
      <c r="J17" s="59"/>
      <c r="K17" s="59"/>
      <c r="L17" s="59"/>
      <c r="M17" s="59"/>
      <c r="N17" s="59"/>
      <c r="O17" s="50"/>
      <c r="P17" s="53"/>
      <c r="Q17" s="53"/>
      <c r="R17" s="53"/>
      <c r="S17" s="50"/>
    </row>
    <row r="18" spans="2:19">
      <c r="B18" t="s">
        <v>134</v>
      </c>
      <c r="C18" s="3">
        <v>23000</v>
      </c>
      <c r="D18" s="56" t="s">
        <v>132</v>
      </c>
      <c r="E18" s="59"/>
      <c r="F18" s="59"/>
      <c r="G18" s="59"/>
      <c r="H18" s="59"/>
      <c r="I18" s="59"/>
      <c r="J18" s="59"/>
      <c r="K18" s="59"/>
      <c r="L18" s="59"/>
      <c r="M18" s="59"/>
      <c r="N18" s="59"/>
      <c r="O18" s="50"/>
      <c r="P18" s="53"/>
      <c r="Q18" s="53"/>
      <c r="R18" s="53"/>
      <c r="S18" s="50"/>
    </row>
    <row r="19" spans="2:19">
      <c r="B19" t="s">
        <v>135</v>
      </c>
      <c r="C19" s="3">
        <v>20000</v>
      </c>
      <c r="D19" s="56" t="s">
        <v>133</v>
      </c>
      <c r="E19" s="59"/>
      <c r="F19" s="59"/>
      <c r="G19" s="59"/>
      <c r="H19" s="59"/>
      <c r="I19" s="59"/>
      <c r="J19" s="59"/>
      <c r="K19" s="59"/>
      <c r="L19" s="59"/>
      <c r="M19" s="59"/>
      <c r="N19" s="59"/>
      <c r="O19" s="50"/>
      <c r="P19" s="53"/>
      <c r="Q19" s="53"/>
      <c r="R19" s="53"/>
      <c r="S19" s="50"/>
    </row>
    <row r="20" spans="2:19">
      <c r="B20" t="s">
        <v>143</v>
      </c>
      <c r="C20" s="3">
        <v>45000</v>
      </c>
      <c r="D20" s="56" t="s">
        <v>125</v>
      </c>
      <c r="E20" s="58"/>
      <c r="F20" s="58"/>
      <c r="G20" s="58"/>
      <c r="H20" s="58"/>
      <c r="I20" s="58"/>
      <c r="J20" s="58"/>
      <c r="K20" s="58"/>
      <c r="L20" s="59"/>
      <c r="M20" s="59"/>
      <c r="N20" s="59"/>
      <c r="O20" s="50"/>
      <c r="P20" s="53"/>
      <c r="Q20" s="53"/>
      <c r="R20" s="53"/>
      <c r="S20" s="50"/>
    </row>
    <row r="21" spans="2:19">
      <c r="C21" s="3"/>
      <c r="D21" s="56"/>
      <c r="E21" s="58"/>
      <c r="F21" s="58"/>
      <c r="G21" s="58"/>
      <c r="H21" s="58"/>
      <c r="I21" s="58"/>
      <c r="J21" s="58"/>
      <c r="K21" s="58"/>
      <c r="L21" s="59"/>
      <c r="M21" s="59"/>
      <c r="N21" s="59"/>
      <c r="O21" s="50"/>
      <c r="P21" s="53"/>
      <c r="Q21" s="53"/>
      <c r="R21" s="53"/>
      <c r="S21" s="50"/>
    </row>
    <row r="22" spans="2:19">
      <c r="B22" t="s">
        <v>99</v>
      </c>
      <c r="C22" s="3">
        <v>80000</v>
      </c>
      <c r="D22" s="56" t="s">
        <v>136</v>
      </c>
      <c r="E22" s="59"/>
      <c r="F22" s="59"/>
      <c r="G22" s="59"/>
      <c r="H22" s="59"/>
      <c r="I22" s="59"/>
      <c r="J22" s="59"/>
      <c r="K22" s="59"/>
      <c r="L22" s="59"/>
      <c r="M22" s="59"/>
      <c r="N22" s="59"/>
      <c r="O22" s="50"/>
      <c r="P22" s="53"/>
      <c r="Q22" s="53"/>
      <c r="R22" s="53"/>
      <c r="S22" s="50"/>
    </row>
    <row r="23" spans="2:19">
      <c r="B23" t="s">
        <v>124</v>
      </c>
      <c r="C23" s="3">
        <v>12000</v>
      </c>
      <c r="D23" s="56" t="s">
        <v>138</v>
      </c>
      <c r="E23" s="58"/>
      <c r="F23" s="58"/>
      <c r="G23" s="58"/>
      <c r="H23" s="58"/>
      <c r="I23" s="58"/>
      <c r="J23" s="58"/>
      <c r="K23" s="58"/>
      <c r="L23" s="58"/>
      <c r="M23" s="58"/>
      <c r="N23" s="58"/>
      <c r="O23" s="82"/>
      <c r="P23" s="53"/>
      <c r="Q23" s="53"/>
      <c r="R23" s="53"/>
      <c r="S23" s="50"/>
    </row>
    <row r="26" spans="2:19">
      <c r="B26" s="54" t="s">
        <v>144</v>
      </c>
      <c r="C26" s="54" t="s">
        <v>90</v>
      </c>
      <c r="D26" s="54" t="s">
        <v>86</v>
      </c>
      <c r="E26" s="54" t="s">
        <v>87</v>
      </c>
      <c r="F26" s="54" t="s">
        <v>88</v>
      </c>
      <c r="G26" s="54" t="s">
        <v>89</v>
      </c>
      <c r="H26" s="55"/>
      <c r="I26" s="54" t="s">
        <v>42</v>
      </c>
      <c r="J26" s="54" t="s">
        <v>43</v>
      </c>
      <c r="K26" s="55"/>
      <c r="L26" s="54" t="s">
        <v>44</v>
      </c>
      <c r="M26" s="54" t="s">
        <v>45</v>
      </c>
      <c r="N26" s="54" t="s">
        <v>46</v>
      </c>
    </row>
    <row r="27" spans="2:19">
      <c r="C27" s="4">
        <f>D27*12</f>
        <v>124800</v>
      </c>
      <c r="D27" s="4">
        <f>E27*(52/12)</f>
        <v>10400</v>
      </c>
      <c r="E27" s="4">
        <f>F27*5</f>
        <v>2400</v>
      </c>
      <c r="F27" s="4">
        <f>G27*8</f>
        <v>480</v>
      </c>
      <c r="G27" s="3">
        <v>60</v>
      </c>
      <c r="I27" s="4">
        <f>F27*52</f>
        <v>24960</v>
      </c>
      <c r="J27" s="4">
        <f>I27*2</f>
        <v>49920</v>
      </c>
      <c r="L27" s="4">
        <f>F27*12</f>
        <v>5760</v>
      </c>
      <c r="M27" s="4">
        <f>L27*2</f>
        <v>11520</v>
      </c>
      <c r="N27" s="4">
        <f>L27*3</f>
        <v>17280</v>
      </c>
    </row>
    <row r="28" spans="2:19">
      <c r="C28" s="4">
        <f>D28*12</f>
        <v>166400</v>
      </c>
      <c r="D28" s="4">
        <f>E28*(52/12)</f>
        <v>13866.666666666666</v>
      </c>
      <c r="E28" s="4">
        <f>F28*5</f>
        <v>3200</v>
      </c>
      <c r="F28" s="4">
        <f>G28*8</f>
        <v>640</v>
      </c>
      <c r="G28" s="3">
        <v>80</v>
      </c>
      <c r="I28" s="4">
        <f t="shared" ref="I28:I33" si="0">F28*52</f>
        <v>33280</v>
      </c>
      <c r="J28" s="4">
        <f t="shared" ref="J28:J33" si="1">I28*2</f>
        <v>66560</v>
      </c>
      <c r="L28" s="4">
        <f t="shared" ref="L28:L33" si="2">F28*12</f>
        <v>7680</v>
      </c>
      <c r="M28" s="4">
        <f t="shared" ref="M28:M33" si="3">L28*2</f>
        <v>15360</v>
      </c>
      <c r="N28" s="4">
        <f t="shared" ref="N28:N33" si="4">L28*3</f>
        <v>23040</v>
      </c>
    </row>
    <row r="29" spans="2:19">
      <c r="C29" s="4">
        <f t="shared" ref="C29:C33" si="5">D29*12</f>
        <v>208000</v>
      </c>
      <c r="D29" s="4">
        <f t="shared" ref="D29:D33" si="6">E29*(52/12)</f>
        <v>17333.333333333332</v>
      </c>
      <c r="E29" s="4">
        <f t="shared" ref="E29:E33" si="7">F29*5</f>
        <v>4000</v>
      </c>
      <c r="F29" s="4">
        <f t="shared" ref="F29:F33" si="8">G29*8</f>
        <v>800</v>
      </c>
      <c r="G29" s="3">
        <v>100</v>
      </c>
      <c r="I29" s="4">
        <f t="shared" si="0"/>
        <v>41600</v>
      </c>
      <c r="J29" s="4">
        <f t="shared" si="1"/>
        <v>83200</v>
      </c>
      <c r="L29" s="4">
        <f t="shared" si="2"/>
        <v>9600</v>
      </c>
      <c r="M29" s="4">
        <f t="shared" si="3"/>
        <v>19200</v>
      </c>
      <c r="N29" s="4">
        <f t="shared" si="4"/>
        <v>28800</v>
      </c>
    </row>
    <row r="30" spans="2:19">
      <c r="B30" s="6"/>
      <c r="C30" s="4">
        <f t="shared" si="5"/>
        <v>249600</v>
      </c>
      <c r="D30" s="4">
        <f t="shared" si="6"/>
        <v>20800</v>
      </c>
      <c r="E30" s="4">
        <f t="shared" si="7"/>
        <v>4800</v>
      </c>
      <c r="F30" s="4">
        <f t="shared" si="8"/>
        <v>960</v>
      </c>
      <c r="G30" s="3">
        <v>120</v>
      </c>
      <c r="I30" s="4">
        <f t="shared" si="0"/>
        <v>49920</v>
      </c>
      <c r="J30" s="4">
        <f t="shared" si="1"/>
        <v>99840</v>
      </c>
      <c r="L30" s="4">
        <f t="shared" si="2"/>
        <v>11520</v>
      </c>
      <c r="M30" s="4">
        <f t="shared" si="3"/>
        <v>23040</v>
      </c>
      <c r="N30" s="4">
        <f t="shared" si="4"/>
        <v>34560</v>
      </c>
    </row>
    <row r="31" spans="2:19">
      <c r="C31" s="4">
        <f t="shared" si="5"/>
        <v>312000</v>
      </c>
      <c r="D31" s="4">
        <f t="shared" si="6"/>
        <v>26000</v>
      </c>
      <c r="E31" s="4">
        <f t="shared" si="7"/>
        <v>6000</v>
      </c>
      <c r="F31" s="4">
        <f t="shared" si="8"/>
        <v>1200</v>
      </c>
      <c r="G31" s="3">
        <v>150</v>
      </c>
      <c r="I31" s="4">
        <f t="shared" si="0"/>
        <v>62400</v>
      </c>
      <c r="J31" s="4">
        <f t="shared" si="1"/>
        <v>124800</v>
      </c>
      <c r="L31" s="4">
        <f t="shared" si="2"/>
        <v>14400</v>
      </c>
      <c r="M31" s="4">
        <f t="shared" si="3"/>
        <v>28800</v>
      </c>
      <c r="N31" s="4">
        <f t="shared" si="4"/>
        <v>43200</v>
      </c>
    </row>
    <row r="32" spans="2:19">
      <c r="C32" s="4">
        <f t="shared" si="5"/>
        <v>416000</v>
      </c>
      <c r="D32" s="4">
        <f t="shared" si="6"/>
        <v>34666.666666666664</v>
      </c>
      <c r="E32" s="4">
        <f t="shared" si="7"/>
        <v>8000</v>
      </c>
      <c r="F32" s="4">
        <f t="shared" si="8"/>
        <v>1600</v>
      </c>
      <c r="G32" s="3">
        <v>200</v>
      </c>
      <c r="I32" s="4">
        <f t="shared" si="0"/>
        <v>83200</v>
      </c>
      <c r="J32" s="4">
        <f t="shared" si="1"/>
        <v>166400</v>
      </c>
      <c r="L32" s="4">
        <f t="shared" si="2"/>
        <v>19200</v>
      </c>
      <c r="M32" s="4">
        <f t="shared" si="3"/>
        <v>38400</v>
      </c>
      <c r="N32" s="4">
        <f t="shared" si="4"/>
        <v>57600</v>
      </c>
    </row>
    <row r="33" spans="2:14">
      <c r="C33" s="4">
        <f t="shared" si="5"/>
        <v>519999.99999999994</v>
      </c>
      <c r="D33" s="4">
        <f t="shared" si="6"/>
        <v>43333.333333333328</v>
      </c>
      <c r="E33" s="4">
        <f t="shared" si="7"/>
        <v>10000</v>
      </c>
      <c r="F33" s="4">
        <f t="shared" si="8"/>
        <v>2000</v>
      </c>
      <c r="G33" s="3">
        <v>250</v>
      </c>
      <c r="I33" s="4">
        <f t="shared" si="0"/>
        <v>104000</v>
      </c>
      <c r="J33" s="4">
        <f t="shared" si="1"/>
        <v>208000</v>
      </c>
      <c r="L33" s="4">
        <f t="shared" si="2"/>
        <v>24000</v>
      </c>
      <c r="M33" s="4">
        <f t="shared" si="3"/>
        <v>48000</v>
      </c>
      <c r="N33" s="4">
        <f t="shared" si="4"/>
        <v>72000</v>
      </c>
    </row>
    <row r="36" spans="2:14">
      <c r="B36" s="54" t="s">
        <v>139</v>
      </c>
      <c r="C36" s="54" t="s">
        <v>91</v>
      </c>
      <c r="D36" s="54" t="s">
        <v>92</v>
      </c>
      <c r="E36" s="54" t="s">
        <v>93</v>
      </c>
      <c r="F36" s="54" t="s">
        <v>94</v>
      </c>
      <c r="G36" s="54"/>
      <c r="H36" s="54" t="s">
        <v>95</v>
      </c>
      <c r="I36" s="54" t="s">
        <v>96</v>
      </c>
      <c r="J36" s="54" t="s">
        <v>97</v>
      </c>
      <c r="K36" s="54"/>
      <c r="L36" s="54"/>
      <c r="M36" s="54"/>
      <c r="N36" s="55"/>
    </row>
    <row r="37" spans="2:14">
      <c r="C37" s="3">
        <v>100</v>
      </c>
      <c r="D37" s="4">
        <f>$C37*8</f>
        <v>800</v>
      </c>
      <c r="E37" s="4">
        <f>$C37*16</f>
        <v>1600</v>
      </c>
      <c r="F37" s="4">
        <f>$C37*24</f>
        <v>2400</v>
      </c>
      <c r="H37" s="4">
        <f>$C37*40</f>
        <v>4000</v>
      </c>
      <c r="I37" s="4">
        <f>$C37*80</f>
        <v>8000</v>
      </c>
      <c r="J37" s="4">
        <f>$C37*120</f>
        <v>12000</v>
      </c>
      <c r="L37" s="4"/>
    </row>
    <row r="38" spans="2:14">
      <c r="C38" s="3">
        <v>120</v>
      </c>
      <c r="D38" s="4">
        <f t="shared" ref="D38:D40" si="9">$C38*8</f>
        <v>960</v>
      </c>
      <c r="E38" s="4">
        <f t="shared" ref="E38:E40" si="10">$C38*16</f>
        <v>1920</v>
      </c>
      <c r="F38" s="4">
        <f t="shared" ref="F38:F40" si="11">$C38*24</f>
        <v>2880</v>
      </c>
      <c r="H38" s="4">
        <f t="shared" ref="H38:H40" si="12">$C38*40</f>
        <v>4800</v>
      </c>
      <c r="I38" s="4">
        <f t="shared" ref="I38:I40" si="13">$C38*80</f>
        <v>9600</v>
      </c>
      <c r="J38" s="4">
        <f t="shared" ref="J38:J40" si="14">$C38*120</f>
        <v>14400</v>
      </c>
    </row>
    <row r="39" spans="2:14">
      <c r="C39" s="3">
        <v>150</v>
      </c>
      <c r="D39" s="4">
        <f t="shared" si="9"/>
        <v>1200</v>
      </c>
      <c r="E39" s="4">
        <f t="shared" si="10"/>
        <v>2400</v>
      </c>
      <c r="F39" s="4">
        <f t="shared" si="11"/>
        <v>3600</v>
      </c>
      <c r="H39" s="4">
        <f t="shared" si="12"/>
        <v>6000</v>
      </c>
      <c r="I39" s="4">
        <f t="shared" si="13"/>
        <v>12000</v>
      </c>
      <c r="J39" s="4">
        <f t="shared" si="14"/>
        <v>18000</v>
      </c>
    </row>
    <row r="40" spans="2:14">
      <c r="C40" s="3">
        <v>200</v>
      </c>
      <c r="D40" s="4">
        <f t="shared" si="9"/>
        <v>1600</v>
      </c>
      <c r="E40" s="4">
        <f t="shared" si="10"/>
        <v>3200</v>
      </c>
      <c r="F40" s="4">
        <f t="shared" si="11"/>
        <v>4800</v>
      </c>
      <c r="H40" s="4">
        <f t="shared" si="12"/>
        <v>8000</v>
      </c>
      <c r="I40" s="4">
        <f t="shared" si="13"/>
        <v>16000</v>
      </c>
      <c r="J40" s="4">
        <f t="shared" si="14"/>
        <v>24000</v>
      </c>
    </row>
    <row r="43" spans="2:14" ht="45">
      <c r="B43" s="54" t="s">
        <v>147</v>
      </c>
      <c r="C43" s="77" t="s">
        <v>148</v>
      </c>
      <c r="D43" s="78" t="s">
        <v>149</v>
      </c>
      <c r="E43" s="78" t="s">
        <v>150</v>
      </c>
      <c r="F43" s="78" t="s">
        <v>151</v>
      </c>
      <c r="G43" s="79" t="s">
        <v>152</v>
      </c>
      <c r="H43" s="55"/>
      <c r="I43" s="55"/>
      <c r="J43" s="55"/>
      <c r="K43" s="55"/>
      <c r="L43" s="55"/>
      <c r="M43" s="55"/>
    </row>
    <row r="44" spans="2:14">
      <c r="C44" s="63">
        <v>1</v>
      </c>
      <c r="D44" s="64">
        <f>F44*52</f>
        <v>2080</v>
      </c>
      <c r="E44" s="65">
        <f>D44/12</f>
        <v>173.33333333333334</v>
      </c>
      <c r="F44" s="64">
        <f>40</f>
        <v>40</v>
      </c>
      <c r="G44" s="66">
        <f>E44/8</f>
        <v>21.666666666666668</v>
      </c>
    </row>
    <row r="45" spans="2:14">
      <c r="C45" s="63">
        <v>0.35</v>
      </c>
      <c r="D45" s="64">
        <f t="shared" ref="D45:D53" si="15">F45*52</f>
        <v>728</v>
      </c>
      <c r="E45" s="65">
        <f t="shared" ref="E45:E53" si="16">D45/12</f>
        <v>60.666666666666664</v>
      </c>
      <c r="F45" s="64">
        <f>C45*$F$44</f>
        <v>14</v>
      </c>
      <c r="G45" s="66">
        <f t="shared" ref="G45:G53" si="17">E45/8</f>
        <v>7.583333333333333</v>
      </c>
    </row>
    <row r="46" spans="2:14">
      <c r="C46" s="63">
        <v>0.3</v>
      </c>
      <c r="D46" s="64">
        <f t="shared" si="15"/>
        <v>624</v>
      </c>
      <c r="E46" s="65">
        <f t="shared" si="16"/>
        <v>52</v>
      </c>
      <c r="F46" s="64">
        <f t="shared" ref="F46:F53" si="18">C46*$F$44</f>
        <v>12</v>
      </c>
      <c r="G46" s="66">
        <f t="shared" si="17"/>
        <v>6.5</v>
      </c>
    </row>
    <row r="47" spans="2:14">
      <c r="C47" s="63">
        <v>0.25</v>
      </c>
      <c r="D47" s="64">
        <f t="shared" si="15"/>
        <v>520</v>
      </c>
      <c r="E47" s="65">
        <f t="shared" si="16"/>
        <v>43.333333333333336</v>
      </c>
      <c r="F47" s="64">
        <f t="shared" si="18"/>
        <v>10</v>
      </c>
      <c r="G47" s="66">
        <f t="shared" si="17"/>
        <v>5.416666666666667</v>
      </c>
    </row>
    <row r="48" spans="2:14">
      <c r="C48" s="63">
        <v>0.2</v>
      </c>
      <c r="D48" s="64">
        <f t="shared" si="15"/>
        <v>416</v>
      </c>
      <c r="E48" s="65">
        <f t="shared" si="16"/>
        <v>34.666666666666664</v>
      </c>
      <c r="F48" s="64">
        <f t="shared" si="18"/>
        <v>8</v>
      </c>
      <c r="G48" s="66">
        <f t="shared" si="17"/>
        <v>4.333333333333333</v>
      </c>
    </row>
    <row r="49" spans="3:7">
      <c r="C49" s="63">
        <v>0.15</v>
      </c>
      <c r="D49" s="64">
        <f t="shared" si="15"/>
        <v>312</v>
      </c>
      <c r="E49" s="65">
        <f t="shared" si="16"/>
        <v>26</v>
      </c>
      <c r="F49" s="64">
        <f t="shared" si="18"/>
        <v>6</v>
      </c>
      <c r="G49" s="66">
        <f t="shared" si="17"/>
        <v>3.25</v>
      </c>
    </row>
    <row r="50" spans="3:7">
      <c r="C50" s="63">
        <v>0.1</v>
      </c>
      <c r="D50" s="64">
        <f t="shared" si="15"/>
        <v>208</v>
      </c>
      <c r="E50" s="65">
        <f t="shared" si="16"/>
        <v>17.333333333333332</v>
      </c>
      <c r="F50" s="64">
        <f t="shared" si="18"/>
        <v>4</v>
      </c>
      <c r="G50" s="66">
        <f t="shared" si="17"/>
        <v>2.1666666666666665</v>
      </c>
    </row>
    <row r="51" spans="3:7">
      <c r="C51" s="63">
        <v>0.05</v>
      </c>
      <c r="D51" s="64">
        <f t="shared" si="15"/>
        <v>104</v>
      </c>
      <c r="E51" s="65">
        <f t="shared" si="16"/>
        <v>8.6666666666666661</v>
      </c>
      <c r="F51" s="64">
        <f t="shared" si="18"/>
        <v>2</v>
      </c>
      <c r="G51" s="67">
        <f t="shared" si="17"/>
        <v>1.0833333333333333</v>
      </c>
    </row>
    <row r="52" spans="3:7">
      <c r="C52" s="63">
        <v>0.02</v>
      </c>
      <c r="D52" s="65">
        <f t="shared" si="15"/>
        <v>41.6</v>
      </c>
      <c r="E52" s="65">
        <f t="shared" si="16"/>
        <v>3.4666666666666668</v>
      </c>
      <c r="F52" s="64">
        <f t="shared" si="18"/>
        <v>0.8</v>
      </c>
      <c r="G52" s="67">
        <f t="shared" si="17"/>
        <v>0.43333333333333335</v>
      </c>
    </row>
    <row r="53" spans="3:7">
      <c r="C53" s="68">
        <v>0.01</v>
      </c>
      <c r="D53" s="75">
        <f t="shared" si="15"/>
        <v>20.8</v>
      </c>
      <c r="E53" s="75">
        <f t="shared" si="16"/>
        <v>1.7333333333333334</v>
      </c>
      <c r="F53" s="74">
        <f t="shared" si="18"/>
        <v>0.4</v>
      </c>
      <c r="G53" s="69">
        <f t="shared" si="17"/>
        <v>0.21666666666666667</v>
      </c>
    </row>
    <row r="55" spans="3:7">
      <c r="C55" s="272" t="s">
        <v>153</v>
      </c>
      <c r="D55" s="273"/>
      <c r="E55" s="274"/>
      <c r="F55" s="70" t="s">
        <v>154</v>
      </c>
    </row>
    <row r="56" spans="3:7">
      <c r="C56" s="76" t="s">
        <v>155</v>
      </c>
      <c r="D56" s="76" t="s">
        <v>157</v>
      </c>
      <c r="E56" s="76" t="s">
        <v>156</v>
      </c>
      <c r="F56" s="76" t="s">
        <v>158</v>
      </c>
    </row>
    <row r="57" spans="3:7">
      <c r="C57" s="71">
        <v>136</v>
      </c>
      <c r="D57" s="72"/>
      <c r="E57" s="72"/>
      <c r="F57" s="73">
        <f>C57/D44</f>
        <v>6.5384615384615388E-2</v>
      </c>
    </row>
    <row r="58" spans="3:7">
      <c r="C58" s="72"/>
      <c r="D58" s="71">
        <v>12</v>
      </c>
      <c r="E58" s="72"/>
      <c r="F58" s="73">
        <f>D58/E44</f>
        <v>6.9230769230769221E-2</v>
      </c>
    </row>
    <row r="59" spans="3:7">
      <c r="C59" s="72"/>
      <c r="D59" s="72"/>
      <c r="E59" s="71">
        <v>3</v>
      </c>
      <c r="F59" s="73">
        <f>E59/F44</f>
        <v>7.4999999999999997E-2</v>
      </c>
    </row>
  </sheetData>
  <mergeCells count="1">
    <mergeCell ref="C55:E55"/>
  </mergeCells>
  <phoneticPr fontId="20" type="noConversion"/>
  <pageMargins left="0.7" right="0.7" top="0.75" bottom="0.75" header="0.3" footer="0.3"/>
  <pageSetup orientation="portrait" r:id="rId1"/>
  <legacyDrawing r:id="rId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sheetPr codeName="Sheet7"/>
  <dimension ref="A1:J23"/>
  <sheetViews>
    <sheetView workbookViewId="0">
      <selection activeCell="A24" sqref="A24"/>
    </sheetView>
  </sheetViews>
  <sheetFormatPr defaultRowHeight="15"/>
  <cols>
    <col min="1" max="1" width="33.85546875" customWidth="1"/>
    <col min="2" max="2" width="13.85546875" customWidth="1"/>
    <col min="3" max="4" width="13.5703125" customWidth="1"/>
    <col min="5" max="5" width="7.7109375" hidden="1" customWidth="1"/>
    <col min="6" max="6" width="12.5703125" hidden="1" customWidth="1"/>
    <col min="7" max="7" width="22.42578125" hidden="1" customWidth="1"/>
    <col min="8" max="8" width="7.28515625" hidden="1" customWidth="1"/>
    <col min="9" max="9" width="12.5703125" hidden="1" customWidth="1"/>
    <col min="10" max="10" width="11.28515625" customWidth="1"/>
  </cols>
  <sheetData>
    <row r="1" spans="1:10" ht="23.25">
      <c r="A1" s="80" t="s">
        <v>234</v>
      </c>
    </row>
    <row r="2" spans="1:10">
      <c r="A2" s="47" t="str">
        <f>'Table of Contents'!B2</f>
        <v>Final Draft - November 18, 2011</v>
      </c>
    </row>
    <row r="3" spans="1:10">
      <c r="A3" t="s">
        <v>233</v>
      </c>
    </row>
    <row r="5" spans="1:10">
      <c r="A5" s="99" t="s">
        <v>235</v>
      </c>
      <c r="B5" s="100">
        <f>'Category (2012)'!E15</f>
        <v>1500000</v>
      </c>
    </row>
    <row r="6" spans="1:10" ht="15.75" thickBot="1">
      <c r="J6" s="50"/>
    </row>
    <row r="7" spans="1:10" ht="60">
      <c r="A7" s="101" t="s">
        <v>214</v>
      </c>
      <c r="B7" s="102" t="s">
        <v>232</v>
      </c>
      <c r="C7" s="102" t="s">
        <v>215</v>
      </c>
      <c r="D7" s="104" t="s">
        <v>216</v>
      </c>
      <c r="E7" s="117"/>
      <c r="F7" s="102" t="s">
        <v>217</v>
      </c>
      <c r="G7" s="102"/>
      <c r="H7" s="103"/>
      <c r="I7" s="102" t="s">
        <v>218</v>
      </c>
      <c r="J7" s="118"/>
    </row>
    <row r="8" spans="1:10">
      <c r="A8" s="105" t="s">
        <v>220</v>
      </c>
      <c r="B8" s="106">
        <v>0.35491098436645985</v>
      </c>
      <c r="C8" s="107">
        <f>$B$5*B8</f>
        <v>532366.47654968977</v>
      </c>
      <c r="D8" s="109">
        <f>ROUND(C8,-3)</f>
        <v>532000</v>
      </c>
      <c r="E8" s="107"/>
      <c r="F8" s="108" t="e">
        <f>#REF!</f>
        <v>#REF!</v>
      </c>
      <c r="G8" s="64"/>
      <c r="H8" s="64"/>
      <c r="I8" s="107">
        <v>452179</v>
      </c>
      <c r="J8" s="50"/>
    </row>
    <row r="9" spans="1:10">
      <c r="A9" s="105" t="s">
        <v>221</v>
      </c>
      <c r="B9" s="106">
        <v>0.20525957851608623</v>
      </c>
      <c r="C9" s="107">
        <f t="shared" ref="C9:C20" si="0">$B$5*B9</f>
        <v>307889.36777412932</v>
      </c>
      <c r="D9" s="109">
        <f t="shared" ref="D9:D20" si="1">ROUND(C9,-3)</f>
        <v>308000</v>
      </c>
      <c r="E9" s="107"/>
      <c r="F9" s="110">
        <v>287400</v>
      </c>
      <c r="G9" s="64"/>
      <c r="H9" s="64"/>
      <c r="I9" s="107">
        <v>274467</v>
      </c>
    </row>
    <row r="10" spans="1:10">
      <c r="A10" s="105" t="s">
        <v>222</v>
      </c>
      <c r="B10" s="106">
        <v>0.13718045536284248</v>
      </c>
      <c r="C10" s="107">
        <f t="shared" si="0"/>
        <v>205770.68304426371</v>
      </c>
      <c r="D10" s="109">
        <f t="shared" si="1"/>
        <v>206000</v>
      </c>
      <c r="E10" s="107"/>
      <c r="F10" s="107">
        <v>192100</v>
      </c>
      <c r="G10" s="64"/>
      <c r="H10" s="64"/>
      <c r="I10" s="107">
        <f>F10</f>
        <v>192100</v>
      </c>
    </row>
    <row r="11" spans="1:10">
      <c r="A11" s="105" t="s">
        <v>223</v>
      </c>
      <c r="B11" s="106">
        <v>8.6172223450727434E-2</v>
      </c>
      <c r="C11" s="107">
        <f t="shared" si="0"/>
        <v>129258.33517609115</v>
      </c>
      <c r="D11" s="109">
        <f t="shared" si="1"/>
        <v>129000</v>
      </c>
      <c r="E11" s="107"/>
      <c r="F11" s="108">
        <v>90000</v>
      </c>
      <c r="G11" s="64"/>
      <c r="H11" s="64"/>
      <c r="I11" s="107">
        <f>F11</f>
        <v>90000</v>
      </c>
    </row>
    <row r="12" spans="1:10">
      <c r="A12" s="105" t="s">
        <v>224</v>
      </c>
      <c r="B12" s="106">
        <v>5.5301509948806102E-2</v>
      </c>
      <c r="C12" s="107">
        <f t="shared" si="0"/>
        <v>82952.26492320915</v>
      </c>
      <c r="D12" s="109">
        <f t="shared" si="1"/>
        <v>83000</v>
      </c>
      <c r="E12" s="107"/>
      <c r="F12" s="111">
        <v>77400</v>
      </c>
      <c r="G12" s="64"/>
      <c r="H12" s="64"/>
      <c r="I12" s="107">
        <f>F12</f>
        <v>77400</v>
      </c>
    </row>
    <row r="13" spans="1:10">
      <c r="A13" s="105" t="s">
        <v>225</v>
      </c>
      <c r="B13" s="106">
        <v>4.5079419385255989E-2</v>
      </c>
      <c r="C13" s="107">
        <f t="shared" si="0"/>
        <v>67619.12907788399</v>
      </c>
      <c r="D13" s="109">
        <f t="shared" si="1"/>
        <v>68000</v>
      </c>
      <c r="E13" s="107"/>
      <c r="F13" s="108">
        <v>45000</v>
      </c>
      <c r="G13" s="64"/>
      <c r="H13" s="64"/>
      <c r="I13" s="107">
        <v>63100</v>
      </c>
    </row>
    <row r="14" spans="1:10">
      <c r="A14" s="105" t="s">
        <v>251</v>
      </c>
      <c r="B14" s="106">
        <v>3.8128397802041913E-2</v>
      </c>
      <c r="C14" s="107">
        <f t="shared" si="0"/>
        <v>57192.596703062867</v>
      </c>
      <c r="D14" s="109">
        <v>30000</v>
      </c>
      <c r="E14" s="107"/>
      <c r="F14" s="108">
        <v>12720</v>
      </c>
      <c r="G14" s="64"/>
      <c r="H14" s="64"/>
      <c r="I14" s="107">
        <f t="shared" ref="I14:I20" si="2">F14</f>
        <v>12720</v>
      </c>
    </row>
    <row r="15" spans="1:10">
      <c r="A15" s="105" t="s">
        <v>226</v>
      </c>
      <c r="B15" s="106">
        <v>3.7208409651322404E-2</v>
      </c>
      <c r="C15" s="107">
        <f t="shared" si="0"/>
        <v>55812.614476983603</v>
      </c>
      <c r="D15" s="109">
        <f t="shared" si="1"/>
        <v>56000</v>
      </c>
      <c r="E15" s="107"/>
      <c r="F15" s="107">
        <v>52100</v>
      </c>
      <c r="G15" s="64"/>
      <c r="H15" s="64"/>
      <c r="I15" s="107">
        <f t="shared" si="2"/>
        <v>52100</v>
      </c>
    </row>
    <row r="16" spans="1:10">
      <c r="A16" s="105" t="s">
        <v>227</v>
      </c>
      <c r="B16" s="106">
        <v>1.3596423519987317E-2</v>
      </c>
      <c r="C16" s="107">
        <f t="shared" si="0"/>
        <v>20394.635279980976</v>
      </c>
      <c r="D16" s="109">
        <f t="shared" si="1"/>
        <v>20000</v>
      </c>
      <c r="E16" s="107"/>
      <c r="F16" s="107">
        <v>19000</v>
      </c>
      <c r="G16" s="107"/>
      <c r="H16" s="107"/>
      <c r="I16" s="107">
        <f t="shared" si="2"/>
        <v>19000</v>
      </c>
      <c r="J16" s="107"/>
    </row>
    <row r="17" spans="1:10">
      <c r="A17" s="105" t="s">
        <v>228</v>
      </c>
      <c r="B17" s="106">
        <v>1.1244299619905123E-2</v>
      </c>
      <c r="C17" s="107">
        <f t="shared" si="0"/>
        <v>16866.449429857683</v>
      </c>
      <c r="D17" s="109">
        <f t="shared" si="1"/>
        <v>17000</v>
      </c>
      <c r="E17" s="107"/>
      <c r="F17" s="107">
        <v>15700</v>
      </c>
      <c r="G17" s="107"/>
      <c r="H17" s="107"/>
      <c r="I17" s="107">
        <f t="shared" si="2"/>
        <v>15700</v>
      </c>
      <c r="J17" s="107"/>
    </row>
    <row r="18" spans="1:10">
      <c r="A18" s="105" t="s">
        <v>229</v>
      </c>
      <c r="B18" s="106">
        <v>7.8710097339335858E-3</v>
      </c>
      <c r="C18" s="107">
        <f t="shared" si="0"/>
        <v>11806.514600900378</v>
      </c>
      <c r="D18" s="109">
        <f t="shared" si="1"/>
        <v>12000</v>
      </c>
      <c r="E18" s="107"/>
      <c r="F18" s="107">
        <v>11000</v>
      </c>
      <c r="G18" s="107"/>
      <c r="H18" s="107"/>
      <c r="I18" s="107">
        <f t="shared" si="2"/>
        <v>11000</v>
      </c>
      <c r="J18" s="107"/>
    </row>
    <row r="19" spans="1:10">
      <c r="A19" s="105" t="s">
        <v>230</v>
      </c>
      <c r="B19" s="106">
        <v>5.1851032848375103E-3</v>
      </c>
      <c r="C19" s="107">
        <f t="shared" si="0"/>
        <v>7777.6549272562652</v>
      </c>
      <c r="D19" s="109">
        <f t="shared" si="1"/>
        <v>8000</v>
      </c>
      <c r="E19" s="107"/>
      <c r="F19" s="107">
        <v>7300</v>
      </c>
      <c r="G19" s="107"/>
      <c r="H19" s="107"/>
      <c r="I19" s="107">
        <f t="shared" si="2"/>
        <v>7300</v>
      </c>
      <c r="J19" s="107"/>
    </row>
    <row r="20" spans="1:10">
      <c r="A20" s="105" t="s">
        <v>231</v>
      </c>
      <c r="B20" s="106">
        <v>2.8621853577940311E-3</v>
      </c>
      <c r="C20" s="107">
        <f t="shared" si="0"/>
        <v>4293.2780366910465</v>
      </c>
      <c r="D20" s="109">
        <f t="shared" si="1"/>
        <v>4000</v>
      </c>
      <c r="E20" s="107"/>
      <c r="F20" s="107">
        <v>4000</v>
      </c>
      <c r="G20" s="107"/>
      <c r="H20" s="107"/>
      <c r="I20" s="107">
        <f t="shared" si="2"/>
        <v>4000</v>
      </c>
      <c r="J20" s="107"/>
    </row>
    <row r="21" spans="1:10">
      <c r="A21" s="105"/>
      <c r="B21" s="64"/>
      <c r="C21" s="64"/>
      <c r="D21" s="112"/>
      <c r="E21" s="64"/>
      <c r="F21" s="64"/>
      <c r="G21" s="64"/>
      <c r="H21" s="64"/>
      <c r="I21" s="64"/>
      <c r="J21" s="64"/>
    </row>
    <row r="22" spans="1:10" ht="15.75" thickBot="1">
      <c r="A22" s="113" t="s">
        <v>219</v>
      </c>
      <c r="B22" s="114">
        <f>SUM(B8:B20)</f>
        <v>1</v>
      </c>
      <c r="C22" s="115">
        <f>SUM(C8:C20)</f>
        <v>1499999.9999999998</v>
      </c>
      <c r="D22" s="116">
        <f>SUM(D8:D20)</f>
        <v>1473000</v>
      </c>
      <c r="E22" s="115"/>
      <c r="F22" s="115" t="e">
        <f>SUM(F8:F20)</f>
        <v>#REF!</v>
      </c>
      <c r="G22" s="115"/>
      <c r="H22" s="115"/>
      <c r="I22" s="115">
        <f>SUM(I8:I20)</f>
        <v>1271066</v>
      </c>
      <c r="J22" s="107"/>
    </row>
    <row r="23" spans="1:10">
      <c r="A23" s="233" t="s">
        <v>275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Z105"/>
  <sheetViews>
    <sheetView topLeftCell="A7" zoomScale="70" zoomScaleNormal="70" zoomScalePageLayoutView="78" workbookViewId="0">
      <pane xSplit="2" ySplit="2" topLeftCell="C9" activePane="bottomRight" state="frozen"/>
      <selection activeCell="A7" sqref="A7"/>
      <selection pane="topRight" activeCell="C7" sqref="C7"/>
      <selection pane="bottomLeft" activeCell="A9" sqref="A9"/>
      <selection pane="bottomRight" activeCell="E9" sqref="E9:E27"/>
    </sheetView>
  </sheetViews>
  <sheetFormatPr defaultColWidth="8.85546875" defaultRowHeight="15"/>
  <cols>
    <col min="1" max="1" width="12" customWidth="1"/>
    <col min="2" max="2" width="84" bestFit="1" customWidth="1"/>
    <col min="3" max="3" width="15.28515625" bestFit="1" customWidth="1"/>
    <col min="4" max="4" width="13.42578125" bestFit="1" customWidth="1"/>
    <col min="5" max="5" width="15.28515625" bestFit="1" customWidth="1"/>
    <col min="6" max="6" width="15.42578125" bestFit="1" customWidth="1"/>
    <col min="7" max="7" width="6.7109375" customWidth="1"/>
    <col min="8" max="8" width="7" customWidth="1"/>
    <col min="9" max="9" width="10.42578125" customWidth="1"/>
    <col min="10" max="10" width="11" bestFit="1" customWidth="1"/>
    <col min="11" max="11" width="10" bestFit="1" customWidth="1"/>
    <col min="12" max="12" width="10" customWidth="1"/>
    <col min="13" max="13" width="81.140625" customWidth="1"/>
    <col min="14" max="14" width="8.85546875" style="52"/>
  </cols>
  <sheetData>
    <row r="1" spans="1:23" ht="23.25">
      <c r="B1" s="80" t="s">
        <v>211</v>
      </c>
    </row>
    <row r="2" spans="1:23">
      <c r="B2" t="str">
        <f>'[1]Table of Contents'!B2</f>
        <v>Final Draft - November 18, 2011</v>
      </c>
    </row>
    <row r="3" spans="1:23">
      <c r="B3" s="50"/>
    </row>
    <row r="4" spans="1:23">
      <c r="B4" t="s">
        <v>168</v>
      </c>
    </row>
    <row r="5" spans="1:23">
      <c r="B5" t="s">
        <v>169</v>
      </c>
    </row>
    <row r="7" spans="1:23" ht="27" customHeight="1">
      <c r="E7" s="219">
        <f>E96</f>
        <v>1500000</v>
      </c>
      <c r="G7" s="81"/>
      <c r="H7" s="268" t="s">
        <v>167</v>
      </c>
      <c r="I7" s="269"/>
      <c r="J7" s="269"/>
      <c r="K7" s="270"/>
      <c r="L7" s="121">
        <v>120000</v>
      </c>
    </row>
    <row r="8" spans="1:23" s="2" customFormat="1" ht="61.5" customHeight="1">
      <c r="A8" s="240" t="s">
        <v>293</v>
      </c>
      <c r="B8" s="231" t="s">
        <v>265</v>
      </c>
      <c r="C8" s="232" t="s">
        <v>85</v>
      </c>
      <c r="D8" s="232" t="s">
        <v>273</v>
      </c>
      <c r="E8" s="232" t="s">
        <v>274</v>
      </c>
      <c r="F8" s="232" t="s">
        <v>272</v>
      </c>
      <c r="H8" s="94" t="s">
        <v>115</v>
      </c>
      <c r="I8" s="94" t="s">
        <v>116</v>
      </c>
      <c r="J8" s="94" t="s">
        <v>47</v>
      </c>
      <c r="K8" s="94" t="s">
        <v>48</v>
      </c>
      <c r="L8" s="122" t="s">
        <v>255</v>
      </c>
      <c r="M8" s="5" t="s">
        <v>24</v>
      </c>
      <c r="N8" s="48"/>
    </row>
    <row r="9" spans="1:23" s="2" customFormat="1" ht="15.75" customHeight="1">
      <c r="B9" s="144" t="str">
        <f>'[1]Category (2012)'!B6</f>
        <v>Existing Measure Review &amp; Updates</v>
      </c>
      <c r="C9" s="145"/>
      <c r="D9" s="145"/>
      <c r="E9" s="145"/>
      <c r="F9" s="145"/>
      <c r="G9" s="146"/>
      <c r="H9" s="146"/>
      <c r="I9" s="147"/>
      <c r="J9" s="146"/>
      <c r="K9" s="146"/>
      <c r="L9" s="146"/>
      <c r="M9" s="146"/>
      <c r="N9" s="148"/>
      <c r="O9" s="146"/>
      <c r="P9" s="146"/>
      <c r="Q9" s="146"/>
      <c r="R9" s="146"/>
      <c r="S9" s="146"/>
      <c r="T9" s="146"/>
      <c r="U9" s="146"/>
      <c r="V9" s="146"/>
      <c r="W9" s="146"/>
    </row>
    <row r="10" spans="1:23" s="2" customFormat="1" ht="15.75" customHeight="1">
      <c r="B10" s="149" t="s">
        <v>128</v>
      </c>
      <c r="C10" s="150">
        <f t="shared" ref="C10:C15" si="0">H10*I10</f>
        <v>60000</v>
      </c>
      <c r="D10" s="150">
        <f t="shared" ref="D10:D15" si="1">H10*J10</f>
        <v>10000</v>
      </c>
      <c r="E10" s="150">
        <f t="shared" ref="E10:E15" si="2">SUM(C10:D10)</f>
        <v>70000</v>
      </c>
      <c r="F10" s="150">
        <f t="shared" ref="F10:F15" si="3">H10*K10</f>
        <v>10000</v>
      </c>
      <c r="G10" s="146"/>
      <c r="H10" s="146">
        <v>10</v>
      </c>
      <c r="I10" s="147">
        <v>6000</v>
      </c>
      <c r="J10" s="151">
        <v>1000</v>
      </c>
      <c r="K10" s="151">
        <v>1000</v>
      </c>
      <c r="L10" s="152">
        <f>$L$7/SUM(I10:K10)</f>
        <v>15</v>
      </c>
      <c r="M10" s="153" t="str">
        <f>CONCATENATE("Library of approx 30 Active UES on average 3-year review cycle or n=",H10," per year @ $",I10/1000,"K each")</f>
        <v>Library of approx 30 Active UES on average 3-year review cycle or n=10 per year @ $6K each</v>
      </c>
      <c r="N10" s="148"/>
      <c r="O10" s="146"/>
      <c r="P10" s="146"/>
      <c r="Q10" s="146"/>
      <c r="R10" s="146"/>
      <c r="S10" s="146"/>
      <c r="T10" s="146"/>
      <c r="U10" s="146"/>
      <c r="V10" s="146"/>
      <c r="W10" s="146"/>
    </row>
    <row r="11" spans="1:23" s="2" customFormat="1" ht="15.75" customHeight="1">
      <c r="B11" s="154" t="s">
        <v>25</v>
      </c>
      <c r="C11" s="150">
        <f t="shared" si="0"/>
        <v>40000</v>
      </c>
      <c r="D11" s="150">
        <f t="shared" si="1"/>
        <v>20000</v>
      </c>
      <c r="E11" s="150">
        <f t="shared" si="2"/>
        <v>60000</v>
      </c>
      <c r="F11" s="150">
        <f t="shared" si="3"/>
        <v>20000</v>
      </c>
      <c r="G11" s="146"/>
      <c r="H11" s="146">
        <v>10</v>
      </c>
      <c r="I11" s="147">
        <v>4000</v>
      </c>
      <c r="J11" s="151">
        <v>2000</v>
      </c>
      <c r="K11" s="151">
        <v>2000</v>
      </c>
      <c r="L11" s="152">
        <f>$L$7/SUM(I11:K11)</f>
        <v>15</v>
      </c>
      <c r="M11" s="153" t="str">
        <f>CONCATENATE("Library of approx 30 Prov UES on average 3-year review cycle or n=",H11," per year @ $",I11/1000,"K each")</f>
        <v>Library of approx 30 Prov UES on average 3-year review cycle or n=10 per year @ $4K each</v>
      </c>
      <c r="N11" s="155"/>
      <c r="O11" s="146"/>
      <c r="P11" s="146"/>
      <c r="Q11" s="146"/>
      <c r="R11" s="146"/>
      <c r="S11" s="146"/>
      <c r="T11" s="146"/>
      <c r="U11" s="146"/>
      <c r="V11" s="146"/>
      <c r="W11" s="146"/>
    </row>
    <row r="12" spans="1:23" s="49" customFormat="1" ht="15.75" customHeight="1">
      <c r="B12" s="149" t="s">
        <v>22</v>
      </c>
      <c r="C12" s="160">
        <f t="shared" si="0"/>
        <v>75000</v>
      </c>
      <c r="D12" s="160">
        <f t="shared" si="1"/>
        <v>20000</v>
      </c>
      <c r="E12" s="160">
        <f t="shared" si="2"/>
        <v>95000</v>
      </c>
      <c r="F12" s="160">
        <f t="shared" si="3"/>
        <v>10000</v>
      </c>
      <c r="G12" s="146"/>
      <c r="H12" s="146">
        <v>5</v>
      </c>
      <c r="I12" s="147">
        <v>15000</v>
      </c>
      <c r="J12" s="147">
        <v>4000</v>
      </c>
      <c r="K12" s="147">
        <v>2000</v>
      </c>
      <c r="L12" s="152">
        <f>$L$7/SUM(I12:K12)</f>
        <v>5.7142857142857144</v>
      </c>
      <c r="M12" s="161" t="s">
        <v>129</v>
      </c>
      <c r="N12" s="148"/>
      <c r="O12" s="162"/>
      <c r="P12" s="162"/>
      <c r="Q12" s="162"/>
      <c r="R12" s="162"/>
      <c r="S12" s="162"/>
      <c r="T12" s="162"/>
      <c r="U12" s="162"/>
      <c r="V12" s="162"/>
      <c r="W12" s="162"/>
    </row>
    <row r="13" spans="1:23" s="2" customFormat="1" ht="15.75" customHeight="1">
      <c r="A13" s="239" t="s">
        <v>291</v>
      </c>
      <c r="B13" s="154" t="s">
        <v>276</v>
      </c>
      <c r="C13" s="160">
        <f t="shared" si="0"/>
        <v>24000</v>
      </c>
      <c r="D13" s="160">
        <f t="shared" si="1"/>
        <v>4000</v>
      </c>
      <c r="E13" s="160">
        <f t="shared" si="2"/>
        <v>28000</v>
      </c>
      <c r="F13" s="160">
        <f t="shared" si="3"/>
        <v>0</v>
      </c>
      <c r="G13" s="146"/>
      <c r="H13" s="146">
        <v>8</v>
      </c>
      <c r="I13" s="147">
        <v>3000</v>
      </c>
      <c r="J13" s="151">
        <v>500</v>
      </c>
      <c r="K13" s="151"/>
      <c r="L13" s="152"/>
      <c r="M13" s="153"/>
      <c r="N13" s="155"/>
      <c r="O13" s="146"/>
      <c r="P13" s="146"/>
      <c r="Q13" s="146"/>
      <c r="R13" s="146"/>
      <c r="S13" s="146"/>
      <c r="T13" s="146"/>
      <c r="U13" s="146"/>
      <c r="V13" s="146"/>
      <c r="W13" s="146"/>
    </row>
    <row r="14" spans="1:23" s="2" customFormat="1" ht="15.75" customHeight="1">
      <c r="A14" s="239" t="s">
        <v>291</v>
      </c>
      <c r="B14" s="154" t="s">
        <v>264</v>
      </c>
      <c r="C14" s="160">
        <f t="shared" si="0"/>
        <v>45000</v>
      </c>
      <c r="D14" s="160">
        <f t="shared" si="1"/>
        <v>15000</v>
      </c>
      <c r="E14" s="160">
        <f t="shared" si="2"/>
        <v>60000</v>
      </c>
      <c r="F14" s="160">
        <f t="shared" si="3"/>
        <v>7500</v>
      </c>
      <c r="G14" s="146"/>
      <c r="H14" s="146">
        <v>15</v>
      </c>
      <c r="I14" s="147">
        <v>3000</v>
      </c>
      <c r="J14" s="151">
        <v>1000</v>
      </c>
      <c r="K14" s="151">
        <v>500</v>
      </c>
      <c r="L14" s="152">
        <f>$L$7/SUM(I14:K14)</f>
        <v>26.666666666666668</v>
      </c>
      <c r="M14" s="153" t="str">
        <f>CONCATENATE("Assume ",20," from 2011 review require additional data develiopment by copntactors.")</f>
        <v>Assume 20 from 2011 review require additional data develiopment by copntactors.</v>
      </c>
      <c r="N14" s="155"/>
      <c r="O14" s="146"/>
      <c r="P14" s="146"/>
      <c r="Q14" s="146"/>
      <c r="R14" s="146"/>
      <c r="S14" s="146"/>
      <c r="T14" s="146"/>
      <c r="U14" s="146"/>
      <c r="V14" s="146"/>
      <c r="W14" s="146"/>
    </row>
    <row r="15" spans="1:23" s="2" customFormat="1" ht="15.75" customHeight="1">
      <c r="B15" s="156" t="s">
        <v>26</v>
      </c>
      <c r="C15" s="157">
        <f t="shared" si="0"/>
        <v>0</v>
      </c>
      <c r="D15" s="157">
        <f t="shared" si="1"/>
        <v>0</v>
      </c>
      <c r="E15" s="157">
        <f t="shared" si="2"/>
        <v>0</v>
      </c>
      <c r="F15" s="157">
        <f t="shared" si="3"/>
        <v>0</v>
      </c>
      <c r="G15" s="158"/>
      <c r="H15" s="158">
        <v>0</v>
      </c>
      <c r="I15" s="159">
        <v>15000</v>
      </c>
      <c r="J15" s="159">
        <v>3000</v>
      </c>
      <c r="K15" s="159">
        <v>3000</v>
      </c>
      <c r="L15" s="152">
        <f>$L$7/SUM(I15:K15)</f>
        <v>5.7142857142857144</v>
      </c>
      <c r="M15" s="153" t="str">
        <f>CONCATENATE("Eventual library of 6 Protocols on 3-year review cycle for n=",H15," per year @ $",I15/1000,"K each.  For 2012 no existing reviews.")</f>
        <v>Eventual library of 6 Protocols on 3-year review cycle for n=0 per year @ $15K each.  For 2012 no existing reviews.</v>
      </c>
      <c r="N15" s="155"/>
      <c r="O15" s="146"/>
      <c r="P15" s="146"/>
      <c r="Q15" s="146"/>
      <c r="R15" s="146"/>
      <c r="S15" s="146"/>
      <c r="T15" s="146"/>
      <c r="U15" s="146"/>
      <c r="V15" s="146"/>
      <c r="W15" s="146"/>
    </row>
    <row r="16" spans="1:23" s="2" customFormat="1" ht="15.75" customHeight="1">
      <c r="B16" s="144" t="str">
        <f>CONCATENATE("Subtotal ",B9)</f>
        <v>Subtotal Existing Measure Review &amp; Updates</v>
      </c>
      <c r="C16" s="163">
        <f>SUM(C10:C15)</f>
        <v>244000</v>
      </c>
      <c r="D16" s="163">
        <f>SUM(D10:D15)</f>
        <v>69000</v>
      </c>
      <c r="E16" s="163">
        <f>SUM(E10:E15)</f>
        <v>313000</v>
      </c>
      <c r="F16" s="163">
        <f>SUM(F10:F15)</f>
        <v>47500</v>
      </c>
      <c r="G16" s="146"/>
      <c r="H16" s="146"/>
      <c r="I16" s="151"/>
      <c r="J16" s="151"/>
      <c r="K16" s="151"/>
      <c r="L16" s="151"/>
      <c r="M16" s="164"/>
      <c r="N16" s="148"/>
      <c r="O16" s="146"/>
      <c r="P16" s="146"/>
      <c r="Q16" s="146"/>
      <c r="R16" s="146"/>
      <c r="S16" s="146"/>
      <c r="T16" s="146"/>
      <c r="U16" s="146"/>
      <c r="V16" s="146"/>
      <c r="W16" s="146"/>
    </row>
    <row r="17" spans="1:23" s="2" customFormat="1" ht="15.75" customHeight="1">
      <c r="B17" s="146"/>
      <c r="C17" s="150"/>
      <c r="D17" s="150"/>
      <c r="E17" s="150"/>
      <c r="F17" s="145"/>
      <c r="G17" s="146"/>
      <c r="H17" s="146"/>
      <c r="I17" s="146"/>
      <c r="J17" s="151"/>
      <c r="K17" s="151"/>
      <c r="L17" s="151"/>
      <c r="M17" s="164"/>
      <c r="N17" s="148"/>
      <c r="O17" s="146"/>
      <c r="P17" s="146"/>
      <c r="Q17" s="146"/>
      <c r="R17" s="146"/>
      <c r="S17" s="146"/>
      <c r="T17" s="146"/>
      <c r="U17" s="146"/>
      <c r="V17" s="146"/>
      <c r="W17" s="146"/>
    </row>
    <row r="18" spans="1:23" s="2" customFormat="1" ht="15.75" customHeight="1">
      <c r="B18" s="146"/>
      <c r="C18" s="150"/>
      <c r="D18" s="150"/>
      <c r="E18" s="150"/>
      <c r="F18" s="145"/>
      <c r="G18" s="146"/>
      <c r="H18" s="146"/>
      <c r="I18" s="146"/>
      <c r="J18" s="151"/>
      <c r="K18" s="151"/>
      <c r="L18" s="151"/>
      <c r="M18" s="164"/>
      <c r="N18" s="148"/>
      <c r="O18" s="146"/>
      <c r="P18" s="146"/>
      <c r="Q18" s="146"/>
      <c r="R18" s="146"/>
      <c r="S18" s="146"/>
      <c r="T18" s="146"/>
      <c r="U18" s="146"/>
      <c r="V18" s="146"/>
      <c r="W18" s="146"/>
    </row>
    <row r="19" spans="1:23" s="2" customFormat="1" ht="15.75" customHeight="1">
      <c r="B19" s="144" t="str">
        <f>'[1]Category (2012)'!B7</f>
        <v>New Measure Development &amp; Review of Unsolicited Proposals</v>
      </c>
      <c r="C19" s="150"/>
      <c r="D19" s="150"/>
      <c r="E19" s="150"/>
      <c r="F19" s="145"/>
      <c r="G19" s="146"/>
      <c r="H19" s="146"/>
      <c r="I19" s="151"/>
      <c r="J19" s="151"/>
      <c r="K19" s="151"/>
      <c r="L19" s="151"/>
      <c r="M19" s="164"/>
      <c r="N19" s="148"/>
      <c r="O19" s="146"/>
      <c r="P19" s="146"/>
      <c r="Q19" s="146"/>
      <c r="R19" s="146"/>
      <c r="S19" s="146"/>
      <c r="T19" s="146"/>
      <c r="U19" s="146"/>
      <c r="V19" s="146"/>
      <c r="W19" s="146"/>
    </row>
    <row r="20" spans="1:23" s="2" customFormat="1" ht="15.75" customHeight="1">
      <c r="A20" s="237" t="s">
        <v>289</v>
      </c>
      <c r="B20" s="154" t="s">
        <v>160</v>
      </c>
      <c r="C20" s="150">
        <f t="shared" ref="C20:C26" si="4">H20*I20</f>
        <v>48000</v>
      </c>
      <c r="D20" s="150">
        <f t="shared" ref="D20:D26" si="5">H20*J20</f>
        <v>24000</v>
      </c>
      <c r="E20" s="150">
        <f t="shared" ref="E20:E26" si="6">SUM(C20:D20)</f>
        <v>72000</v>
      </c>
      <c r="F20" s="150">
        <f t="shared" ref="F20:F26" si="7">H20*K20</f>
        <v>8000</v>
      </c>
      <c r="G20" s="146"/>
      <c r="H20" s="146">
        <v>4</v>
      </c>
      <c r="I20" s="151">
        <v>12000</v>
      </c>
      <c r="J20" s="151">
        <v>6000</v>
      </c>
      <c r="K20" s="151">
        <v>2000</v>
      </c>
      <c r="L20" s="152">
        <f t="shared" ref="L20:L26" si="8">$L$7/SUM(I20:K20)</f>
        <v>6</v>
      </c>
      <c r="M20" s="153" t="str">
        <f>CONCATENATE("Review New UES (n=",H20," per year @ $",I20/1000,"K each).  Assumes proposers do most development work.  Proposals come to RTF well-crafted.")</f>
        <v>Review New UES (n=4 per year @ $12K each).  Assumes proposers do most development work.  Proposals come to RTF well-crafted.</v>
      </c>
      <c r="N20" s="165"/>
      <c r="O20" s="146"/>
      <c r="P20" s="146"/>
      <c r="Q20" s="146"/>
      <c r="R20" s="146"/>
      <c r="S20" s="146"/>
      <c r="T20" s="146"/>
      <c r="U20" s="146"/>
      <c r="V20" s="146"/>
      <c r="W20" s="146"/>
    </row>
    <row r="21" spans="1:23" s="2" customFormat="1" ht="15.75" customHeight="1">
      <c r="A21" s="237" t="s">
        <v>289</v>
      </c>
      <c r="B21" s="154" t="s">
        <v>159</v>
      </c>
      <c r="C21" s="150">
        <f t="shared" si="4"/>
        <v>60000</v>
      </c>
      <c r="D21" s="150">
        <f t="shared" si="5"/>
        <v>24000</v>
      </c>
      <c r="E21" s="150">
        <f t="shared" si="6"/>
        <v>84000</v>
      </c>
      <c r="F21" s="150">
        <f t="shared" si="7"/>
        <v>8000</v>
      </c>
      <c r="G21" s="146"/>
      <c r="H21" s="146">
        <v>4</v>
      </c>
      <c r="I21" s="151">
        <v>15000</v>
      </c>
      <c r="J21" s="151">
        <v>6000</v>
      </c>
      <c r="K21" s="151">
        <v>2000</v>
      </c>
      <c r="L21" s="152">
        <f t="shared" si="8"/>
        <v>5.2173913043478262</v>
      </c>
      <c r="M21" s="153" t="str">
        <f>CONCATENATE("Review New Standard Protocols with Calculators (",H21," per year @ $",I21/1000,"K each).  From formerly deemed measures.  Assumes proposers do most development work.")</f>
        <v>Review New Standard Protocols with Calculators (4 per year @ $15K each).  From formerly deemed measures.  Assumes proposers do most development work.</v>
      </c>
      <c r="N21" s="166"/>
      <c r="O21" s="146"/>
      <c r="P21" s="146"/>
      <c r="Q21" s="146"/>
      <c r="R21" s="146"/>
      <c r="S21" s="146"/>
      <c r="T21" s="146"/>
      <c r="U21" s="146"/>
      <c r="V21" s="146"/>
      <c r="W21" s="146"/>
    </row>
    <row r="22" spans="1:23" s="2" customFormat="1" ht="15.75" customHeight="1">
      <c r="A22" s="237" t="s">
        <v>289</v>
      </c>
      <c r="B22" s="154" t="s">
        <v>29</v>
      </c>
      <c r="C22" s="150">
        <f t="shared" si="4"/>
        <v>15000</v>
      </c>
      <c r="D22" s="150">
        <f t="shared" si="5"/>
        <v>5000</v>
      </c>
      <c r="E22" s="150">
        <f t="shared" si="6"/>
        <v>20000</v>
      </c>
      <c r="F22" s="150">
        <f t="shared" si="7"/>
        <v>2000</v>
      </c>
      <c r="G22" s="146"/>
      <c r="H22" s="146">
        <v>1</v>
      </c>
      <c r="I22" s="151">
        <v>15000</v>
      </c>
      <c r="J22" s="151">
        <v>5000</v>
      </c>
      <c r="K22" s="151">
        <v>2000</v>
      </c>
      <c r="L22" s="152">
        <f t="shared" si="8"/>
        <v>5.4545454545454541</v>
      </c>
      <c r="M22" s="153" t="str">
        <f>CONCATENATE("Develop Small &amp; Rural Measures (",H22," @ $",I22/1000,"K each).  Includes analysis to better understand needs around packaging irrigation measures, or training or specification simplification.  Maybe develop schools measures.")</f>
        <v>Develop Small &amp; Rural Measures (1 @ $15K each).  Includes analysis to better understand needs around packaging irrigation measures, or training or specification simplification.  Maybe develop schools measures.</v>
      </c>
      <c r="N22" s="166"/>
      <c r="O22" s="146"/>
      <c r="P22" s="146"/>
      <c r="Q22" s="146"/>
      <c r="R22" s="146"/>
      <c r="S22" s="146"/>
      <c r="T22" s="146"/>
      <c r="U22" s="146"/>
      <c r="V22" s="146"/>
      <c r="W22" s="146"/>
    </row>
    <row r="23" spans="1:23" s="2" customFormat="1" ht="15.75" customHeight="1">
      <c r="B23" s="154" t="s">
        <v>238</v>
      </c>
      <c r="C23" s="150">
        <f t="shared" si="4"/>
        <v>48000</v>
      </c>
      <c r="D23" s="150">
        <f t="shared" si="5"/>
        <v>48000</v>
      </c>
      <c r="E23" s="150">
        <f t="shared" si="6"/>
        <v>96000</v>
      </c>
      <c r="F23" s="150">
        <f t="shared" si="7"/>
        <v>8000</v>
      </c>
      <c r="G23" s="146"/>
      <c r="H23" s="146">
        <v>4</v>
      </c>
      <c r="I23" s="151">
        <v>12000</v>
      </c>
      <c r="J23" s="151">
        <v>12000</v>
      </c>
      <c r="K23" s="151">
        <v>2000</v>
      </c>
      <c r="L23" s="152">
        <f t="shared" si="8"/>
        <v>4.615384615384615</v>
      </c>
      <c r="M23" s="153" t="str">
        <f>CONCATENATE("Review New UES/Protocol (n=",H23," per year @ $",I23/1000,"K each).  Assumes proposers do most development work.  Proposals come to RTF well-crafted.")</f>
        <v>Review New UES/Protocol (n=4 per year @ $12K each).  Assumes proposers do most development work.  Proposals come to RTF well-crafted.</v>
      </c>
      <c r="N23" s="148"/>
      <c r="O23" s="146"/>
      <c r="P23" s="146"/>
      <c r="Q23" s="146"/>
      <c r="R23" s="146"/>
      <c r="S23" s="146"/>
      <c r="T23" s="146"/>
      <c r="U23" s="146"/>
      <c r="V23" s="146"/>
      <c r="W23" s="146"/>
    </row>
    <row r="24" spans="1:23" s="2" customFormat="1" ht="15.75" customHeight="1">
      <c r="A24" s="237" t="s">
        <v>292</v>
      </c>
      <c r="B24" s="154" t="s">
        <v>114</v>
      </c>
      <c r="C24" s="150">
        <f t="shared" si="4"/>
        <v>32000</v>
      </c>
      <c r="D24" s="150">
        <f t="shared" si="5"/>
        <v>8000</v>
      </c>
      <c r="E24" s="150">
        <f t="shared" si="6"/>
        <v>40000</v>
      </c>
      <c r="F24" s="150">
        <f t="shared" si="7"/>
        <v>8000</v>
      </c>
      <c r="G24" s="146"/>
      <c r="H24" s="146">
        <v>8</v>
      </c>
      <c r="I24" s="151">
        <v>4000</v>
      </c>
      <c r="J24" s="151">
        <v>1000</v>
      </c>
      <c r="K24" s="151">
        <v>1000</v>
      </c>
      <c r="L24" s="152">
        <f t="shared" si="8"/>
        <v>20</v>
      </c>
      <c r="M24" s="153" t="s">
        <v>23</v>
      </c>
      <c r="N24" s="148"/>
      <c r="O24" s="146"/>
      <c r="P24" s="146"/>
      <c r="Q24" s="146"/>
      <c r="R24" s="146"/>
      <c r="S24" s="146"/>
      <c r="T24" s="146"/>
      <c r="U24" s="146"/>
      <c r="V24" s="146"/>
      <c r="W24" s="146"/>
    </row>
    <row r="25" spans="1:23" s="2" customFormat="1" ht="15.75" customHeight="1">
      <c r="B25" s="156" t="s">
        <v>164</v>
      </c>
      <c r="C25" s="157">
        <f t="shared" si="4"/>
        <v>0</v>
      </c>
      <c r="D25" s="157">
        <f t="shared" si="5"/>
        <v>0</v>
      </c>
      <c r="E25" s="157">
        <f t="shared" si="6"/>
        <v>0</v>
      </c>
      <c r="F25" s="157">
        <f t="shared" si="7"/>
        <v>0</v>
      </c>
      <c r="G25" s="167"/>
      <c r="H25" s="168">
        <v>0</v>
      </c>
      <c r="I25" s="169">
        <v>40000</v>
      </c>
      <c r="J25" s="169">
        <v>6000</v>
      </c>
      <c r="K25" s="169">
        <v>3000</v>
      </c>
      <c r="L25" s="152">
        <f t="shared" si="8"/>
        <v>2.4489795918367347</v>
      </c>
      <c r="M25" s="153" t="str">
        <f>CONCATENATE("Develop New UES (n=",H25," per year @ $",I25/1000,"K each).  Assumes RTF contract for most development work.")</f>
        <v>Develop New UES (n=0 per year @ $40K each).  Assumes RTF contract for most development work.</v>
      </c>
      <c r="N25" s="167"/>
      <c r="O25" s="167"/>
      <c r="P25" s="167"/>
      <c r="Q25" s="167"/>
      <c r="R25" s="167"/>
      <c r="S25" s="167"/>
      <c r="T25" s="167"/>
      <c r="U25" s="146"/>
      <c r="V25" s="146"/>
      <c r="W25" s="146"/>
    </row>
    <row r="26" spans="1:23" s="2" customFormat="1" ht="15.75" customHeight="1">
      <c r="B26" s="156" t="s">
        <v>165</v>
      </c>
      <c r="C26" s="157">
        <f t="shared" si="4"/>
        <v>0</v>
      </c>
      <c r="D26" s="157">
        <f t="shared" si="5"/>
        <v>0</v>
      </c>
      <c r="E26" s="157">
        <f t="shared" si="6"/>
        <v>0</v>
      </c>
      <c r="F26" s="157">
        <f t="shared" si="7"/>
        <v>0</v>
      </c>
      <c r="G26" s="167"/>
      <c r="H26" s="168">
        <v>0</v>
      </c>
      <c r="I26" s="169">
        <v>45000</v>
      </c>
      <c r="J26" s="169">
        <v>6000</v>
      </c>
      <c r="K26" s="169">
        <v>3000</v>
      </c>
      <c r="L26" s="152">
        <f t="shared" si="8"/>
        <v>2.2222222222222223</v>
      </c>
      <c r="M26" s="153" t="str">
        <f>CONCATENATE("Develop New Standarad Protocol (n=",H26," per year @ $",I26/1000,"K each).  Assumes RTF contract for most development work.")</f>
        <v>Develop New Standarad Protocol (n=0 per year @ $45K each).  Assumes RTF contract for most development work.</v>
      </c>
      <c r="N26" s="167"/>
      <c r="O26" s="167"/>
      <c r="P26" s="167"/>
      <c r="Q26" s="167"/>
      <c r="R26" s="167"/>
      <c r="S26" s="167"/>
      <c r="T26" s="167"/>
      <c r="U26" s="146"/>
      <c r="V26" s="146"/>
      <c r="W26" s="146"/>
    </row>
    <row r="27" spans="1:23" s="2" customFormat="1" ht="15.75" customHeight="1">
      <c r="B27" s="144" t="str">
        <f>CONCATENATE("Subtotal ",B19)</f>
        <v>Subtotal New Measure Development &amp; Review of Unsolicited Proposals</v>
      </c>
      <c r="C27" s="163">
        <f>SUM(C20:C24)</f>
        <v>203000</v>
      </c>
      <c r="D27" s="163">
        <f>SUM(D20:D24)</f>
        <v>109000</v>
      </c>
      <c r="E27" s="163">
        <f>SUM(E20:E24)</f>
        <v>312000</v>
      </c>
      <c r="F27" s="163">
        <f>SUM(F20:F24)</f>
        <v>34000</v>
      </c>
      <c r="G27" s="146"/>
      <c r="H27" s="146"/>
      <c r="I27" s="146"/>
      <c r="J27" s="146"/>
      <c r="K27" s="146"/>
      <c r="L27" s="146"/>
      <c r="M27" s="153"/>
      <c r="N27" s="148"/>
      <c r="O27" s="146"/>
      <c r="P27" s="146"/>
      <c r="Q27" s="146"/>
      <c r="R27" s="146"/>
      <c r="S27" s="146"/>
      <c r="T27" s="146"/>
      <c r="U27" s="146"/>
      <c r="V27" s="146"/>
      <c r="W27" s="146"/>
    </row>
    <row r="28" spans="1:23" s="2" customFormat="1" ht="15.75" customHeight="1">
      <c r="B28" s="154"/>
      <c r="C28" s="150"/>
      <c r="D28" s="150"/>
      <c r="E28" s="150"/>
      <c r="F28" s="145"/>
      <c r="G28" s="146"/>
      <c r="H28" s="146"/>
      <c r="I28" s="146"/>
      <c r="J28" s="146"/>
      <c r="K28" s="146"/>
      <c r="L28" s="146"/>
      <c r="M28" s="153"/>
      <c r="N28" s="148"/>
      <c r="O28" s="146"/>
      <c r="P28" s="146"/>
      <c r="Q28" s="146"/>
      <c r="R28" s="146"/>
      <c r="S28" s="146"/>
      <c r="T28" s="146"/>
      <c r="U28" s="146"/>
      <c r="V28" s="146"/>
      <c r="W28" s="146"/>
    </row>
    <row r="29" spans="1:23" s="2" customFormat="1" ht="15.75" customHeight="1">
      <c r="B29" s="146"/>
      <c r="C29" s="150"/>
      <c r="D29" s="150"/>
      <c r="E29" s="150"/>
      <c r="F29" s="145"/>
      <c r="G29" s="146"/>
      <c r="H29" s="146"/>
      <c r="I29" s="146"/>
      <c r="J29" s="170"/>
      <c r="K29" s="170"/>
      <c r="L29" s="170"/>
      <c r="M29" s="153"/>
      <c r="N29" s="148"/>
      <c r="O29" s="146"/>
      <c r="P29" s="146"/>
      <c r="Q29" s="146"/>
      <c r="R29" s="146"/>
      <c r="S29" s="146"/>
      <c r="T29" s="146"/>
      <c r="U29" s="146"/>
      <c r="V29" s="146"/>
      <c r="W29" s="146"/>
    </row>
    <row r="30" spans="1:23" ht="15.75">
      <c r="B30" s="144" t="str">
        <f>'[1]Category (2012)'!B8</f>
        <v>Standardization of Technical Analysis</v>
      </c>
      <c r="C30" s="170"/>
      <c r="D30" s="170"/>
      <c r="E30" s="170"/>
      <c r="F30" s="170"/>
      <c r="G30" s="170"/>
      <c r="H30" s="170"/>
      <c r="I30" s="170"/>
      <c r="J30" s="170"/>
      <c r="K30" s="170"/>
      <c r="L30" s="170"/>
      <c r="M30" s="153"/>
      <c r="N30" s="166"/>
      <c r="O30" s="170"/>
      <c r="P30" s="170"/>
      <c r="Q30" s="170"/>
      <c r="R30" s="170"/>
      <c r="S30" s="170"/>
      <c r="T30" s="170"/>
      <c r="U30" s="170"/>
      <c r="V30" s="170"/>
      <c r="W30" s="170"/>
    </row>
    <row r="31" spans="1:23" ht="15.75">
      <c r="B31" s="154" t="s">
        <v>27</v>
      </c>
      <c r="C31" s="150">
        <v>0</v>
      </c>
      <c r="D31" s="160">
        <v>7000</v>
      </c>
      <c r="E31" s="160">
        <f t="shared" ref="E31:E37" si="9">SUM(C31:D31)</f>
        <v>7000</v>
      </c>
      <c r="F31" s="171">
        <v>7000</v>
      </c>
      <c r="G31" s="170"/>
      <c r="H31" s="170"/>
      <c r="I31" s="166"/>
      <c r="J31" s="170"/>
      <c r="K31" s="170"/>
      <c r="L31" s="170"/>
      <c r="M31" s="170"/>
      <c r="N31" s="166"/>
      <c r="O31" s="170"/>
      <c r="P31" s="170"/>
      <c r="Q31" s="170"/>
      <c r="R31" s="170"/>
      <c r="S31" s="170"/>
      <c r="T31" s="170"/>
      <c r="U31" s="170"/>
      <c r="V31" s="170"/>
      <c r="W31" s="170"/>
    </row>
    <row r="32" spans="1:23" ht="15.75">
      <c r="B32" s="154" t="s">
        <v>28</v>
      </c>
      <c r="C32" s="150">
        <v>0</v>
      </c>
      <c r="D32" s="150">
        <v>5000</v>
      </c>
      <c r="E32" s="150">
        <f t="shared" si="9"/>
        <v>5000</v>
      </c>
      <c r="F32" s="172">
        <v>5000</v>
      </c>
      <c r="G32" s="170"/>
      <c r="H32" s="170"/>
      <c r="I32" s="166"/>
      <c r="J32" s="170"/>
      <c r="K32" s="170"/>
      <c r="L32" s="170"/>
      <c r="M32" s="170"/>
      <c r="N32" s="166"/>
      <c r="O32" s="170"/>
      <c r="P32" s="170"/>
      <c r="Q32" s="170"/>
      <c r="R32" s="170"/>
      <c r="S32" s="170"/>
      <c r="T32" s="170"/>
      <c r="U32" s="170"/>
      <c r="V32" s="170"/>
      <c r="W32" s="170"/>
    </row>
    <row r="33" spans="1:26" ht="15.75">
      <c r="A33" s="238" t="s">
        <v>292</v>
      </c>
      <c r="B33" s="154" t="s">
        <v>80</v>
      </c>
      <c r="C33" s="150">
        <v>40000</v>
      </c>
      <c r="D33" s="150">
        <v>10000</v>
      </c>
      <c r="E33" s="150">
        <f t="shared" si="9"/>
        <v>50000</v>
      </c>
      <c r="F33" s="172">
        <f>1/2*D33</f>
        <v>5000</v>
      </c>
      <c r="G33" s="170"/>
      <c r="H33" s="170"/>
      <c r="I33" s="166"/>
      <c r="J33" s="170"/>
      <c r="K33" s="170"/>
      <c r="L33" s="170"/>
      <c r="M33" s="153"/>
      <c r="N33" s="166"/>
      <c r="O33" s="170"/>
      <c r="P33" s="170"/>
      <c r="Q33" s="170"/>
      <c r="R33" s="170"/>
      <c r="S33" s="170"/>
      <c r="T33" s="170"/>
      <c r="U33" s="170"/>
      <c r="V33" s="170"/>
      <c r="W33" s="170"/>
    </row>
    <row r="34" spans="1:26" ht="15.75">
      <c r="A34" s="238" t="s">
        <v>292</v>
      </c>
      <c r="B34" s="154" t="s">
        <v>81</v>
      </c>
      <c r="C34" s="150">
        <v>60000</v>
      </c>
      <c r="D34" s="150">
        <v>10000</v>
      </c>
      <c r="E34" s="150">
        <f t="shared" si="9"/>
        <v>70000</v>
      </c>
      <c r="F34" s="172">
        <f>1/2*D34</f>
        <v>5000</v>
      </c>
      <c r="G34" s="170"/>
      <c r="H34" s="170"/>
      <c r="I34" s="170"/>
      <c r="J34" s="170"/>
      <c r="K34" s="170"/>
      <c r="L34" s="170"/>
      <c r="M34" s="153" t="s">
        <v>263</v>
      </c>
      <c r="N34" s="166"/>
      <c r="O34" s="170"/>
      <c r="P34" s="170"/>
      <c r="Q34" s="170"/>
      <c r="R34" s="170"/>
      <c r="S34" s="170"/>
      <c r="T34" s="170"/>
      <c r="U34" s="170"/>
      <c r="V34" s="170"/>
      <c r="W34" s="170"/>
    </row>
    <row r="35" spans="1:26" ht="15.75">
      <c r="B35" s="154" t="s">
        <v>31</v>
      </c>
      <c r="C35" s="150">
        <v>10000</v>
      </c>
      <c r="D35" s="150">
        <v>5000</v>
      </c>
      <c r="E35" s="150">
        <f t="shared" si="9"/>
        <v>15000</v>
      </c>
      <c r="F35" s="172">
        <f>1/2*D35</f>
        <v>2500</v>
      </c>
      <c r="G35" s="170"/>
      <c r="H35" s="170"/>
      <c r="I35" s="170"/>
      <c r="J35" s="170"/>
      <c r="K35" s="170"/>
      <c r="L35" s="170"/>
      <c r="M35" s="153"/>
      <c r="N35" s="166"/>
      <c r="O35" s="170"/>
      <c r="P35" s="170"/>
      <c r="Q35" s="170"/>
      <c r="R35" s="170"/>
      <c r="S35" s="170"/>
      <c r="T35" s="170"/>
      <c r="U35" s="170"/>
      <c r="V35" s="170"/>
      <c r="W35" s="170"/>
    </row>
    <row r="36" spans="1:26" ht="15.75">
      <c r="A36" s="238" t="s">
        <v>291</v>
      </c>
      <c r="B36" s="154" t="s">
        <v>261</v>
      </c>
      <c r="C36" s="150">
        <f>H36*I36</f>
        <v>24000</v>
      </c>
      <c r="D36" s="150">
        <v>5000</v>
      </c>
      <c r="E36" s="150">
        <f t="shared" si="9"/>
        <v>29000</v>
      </c>
      <c r="F36" s="172">
        <f>H36*K36</f>
        <v>0</v>
      </c>
      <c r="G36" s="170"/>
      <c r="H36" s="146">
        <v>20</v>
      </c>
      <c r="I36" s="151">
        <v>1200</v>
      </c>
      <c r="J36" s="151">
        <v>200</v>
      </c>
      <c r="K36" s="151"/>
      <c r="L36" s="170"/>
      <c r="M36" s="153" t="s">
        <v>262</v>
      </c>
      <c r="N36" s="166"/>
      <c r="O36" s="170"/>
      <c r="P36" s="170"/>
      <c r="Q36" s="170"/>
      <c r="R36" s="170"/>
      <c r="S36" s="170"/>
      <c r="T36" s="170"/>
      <c r="U36" s="170"/>
      <c r="V36" s="170"/>
      <c r="W36" s="170"/>
    </row>
    <row r="37" spans="1:26" ht="15.75">
      <c r="A37" s="238" t="s">
        <v>290</v>
      </c>
      <c r="B37" s="156" t="s">
        <v>82</v>
      </c>
      <c r="C37" s="157">
        <v>0</v>
      </c>
      <c r="D37" s="157">
        <v>0</v>
      </c>
      <c r="E37" s="157">
        <f t="shared" si="9"/>
        <v>0</v>
      </c>
      <c r="F37" s="173">
        <f>1/2*D37</f>
        <v>0</v>
      </c>
      <c r="G37" s="217"/>
      <c r="H37" s="217"/>
      <c r="I37" s="217"/>
      <c r="J37" s="217"/>
      <c r="K37" s="217"/>
      <c r="L37" s="217"/>
      <c r="M37" s="218" t="s">
        <v>161</v>
      </c>
      <c r="N37" s="217"/>
      <c r="O37" s="217"/>
      <c r="P37" s="217"/>
      <c r="Q37" s="217"/>
      <c r="R37" s="217"/>
      <c r="S37" s="217"/>
      <c r="T37" s="217"/>
      <c r="U37" s="217"/>
      <c r="V37" s="217"/>
      <c r="W37" s="217"/>
    </row>
    <row r="38" spans="1:26" ht="15.75">
      <c r="B38" s="156" t="s">
        <v>78</v>
      </c>
      <c r="C38" s="157">
        <v>0</v>
      </c>
      <c r="D38" s="157">
        <v>0</v>
      </c>
      <c r="E38" s="157">
        <v>0</v>
      </c>
      <c r="F38" s="173">
        <v>0</v>
      </c>
      <c r="G38" s="170"/>
      <c r="H38" s="170"/>
      <c r="I38" s="166"/>
      <c r="J38" s="170"/>
      <c r="K38" s="170"/>
      <c r="L38" s="170"/>
      <c r="M38" s="153" t="s">
        <v>162</v>
      </c>
      <c r="N38" s="166"/>
      <c r="O38" s="170"/>
      <c r="P38" s="170"/>
      <c r="Q38" s="170"/>
      <c r="R38" s="170"/>
      <c r="S38" s="170"/>
      <c r="T38" s="170"/>
      <c r="U38" s="170"/>
      <c r="V38" s="170"/>
      <c r="W38" s="170"/>
    </row>
    <row r="39" spans="1:26" ht="15.75">
      <c r="B39" s="156" t="s">
        <v>79</v>
      </c>
      <c r="C39" s="157">
        <v>0</v>
      </c>
      <c r="D39" s="157">
        <v>0</v>
      </c>
      <c r="E39" s="157">
        <v>0</v>
      </c>
      <c r="F39" s="173">
        <v>0</v>
      </c>
      <c r="G39" s="170"/>
      <c r="H39" s="170"/>
      <c r="I39" s="166"/>
      <c r="J39" s="170"/>
      <c r="K39" s="170"/>
      <c r="L39" s="170"/>
      <c r="M39" s="153" t="s">
        <v>163</v>
      </c>
      <c r="N39" s="166"/>
      <c r="O39" s="170"/>
      <c r="P39" s="170"/>
      <c r="Q39" s="170"/>
      <c r="R39" s="170"/>
      <c r="S39" s="170"/>
      <c r="T39" s="170"/>
      <c r="U39" s="170"/>
      <c r="V39" s="170"/>
      <c r="W39" s="170"/>
    </row>
    <row r="40" spans="1:26" ht="15.75">
      <c r="B40" s="156" t="s">
        <v>109</v>
      </c>
      <c r="C40" s="157">
        <v>0</v>
      </c>
      <c r="D40" s="157">
        <v>0</v>
      </c>
      <c r="E40" s="157">
        <v>0</v>
      </c>
      <c r="F40" s="173">
        <v>0</v>
      </c>
      <c r="G40" s="170"/>
      <c r="H40" s="170"/>
      <c r="I40" s="166"/>
      <c r="J40" s="170"/>
      <c r="K40" s="170"/>
      <c r="L40" s="170"/>
      <c r="M40" s="153" t="s">
        <v>163</v>
      </c>
      <c r="N40" s="166"/>
      <c r="O40" s="170"/>
      <c r="P40" s="170"/>
      <c r="Q40" s="170"/>
      <c r="R40" s="170"/>
      <c r="S40" s="170"/>
      <c r="T40" s="170"/>
      <c r="U40" s="170"/>
      <c r="V40" s="170"/>
      <c r="W40" s="170"/>
    </row>
    <row r="41" spans="1:26" ht="15.75">
      <c r="B41" s="144" t="str">
        <f>CONCATENATE("Subtotal ",B30)</f>
        <v>Subtotal Standardization of Technical Analysis</v>
      </c>
      <c r="C41" s="163">
        <f>SUM(C31:C40)</f>
        <v>134000</v>
      </c>
      <c r="D41" s="163">
        <f>SUM(D31:D40)</f>
        <v>42000</v>
      </c>
      <c r="E41" s="163">
        <f>SUM(E31:E40)</f>
        <v>176000</v>
      </c>
      <c r="F41" s="163">
        <f>SUM(F31:F40)</f>
        <v>24500</v>
      </c>
      <c r="G41" s="170"/>
      <c r="H41" s="170"/>
      <c r="I41" s="170"/>
      <c r="J41" s="170"/>
      <c r="K41" s="170"/>
      <c r="L41" s="170"/>
      <c r="M41" s="153"/>
      <c r="N41" s="166"/>
      <c r="O41" s="170"/>
      <c r="P41" s="170"/>
      <c r="Q41" s="170"/>
      <c r="R41" s="170"/>
      <c r="S41" s="170"/>
      <c r="T41" s="170"/>
      <c r="U41" s="170"/>
      <c r="V41" s="170"/>
      <c r="W41" s="170"/>
    </row>
    <row r="42" spans="1:26">
      <c r="M42" s="8"/>
    </row>
    <row r="43" spans="1:26">
      <c r="C43" s="3"/>
      <c r="D43" s="3"/>
      <c r="E43" s="3"/>
      <c r="M43" s="8"/>
    </row>
    <row r="44" spans="1:26" ht="15.75">
      <c r="B44" s="183" t="str">
        <f>'[1]Category (2012)'!B9</f>
        <v>Tool Development</v>
      </c>
      <c r="C44" s="184"/>
      <c r="D44" s="184"/>
      <c r="E44" s="184"/>
      <c r="F44" s="185"/>
      <c r="G44" s="185"/>
      <c r="H44" s="185"/>
      <c r="I44" s="185"/>
      <c r="J44" s="185"/>
      <c r="K44" s="185"/>
      <c r="L44" s="185"/>
      <c r="M44" s="186"/>
      <c r="N44" s="187"/>
      <c r="O44" s="185"/>
      <c r="P44" s="185"/>
      <c r="Q44" s="185"/>
      <c r="R44" s="185"/>
      <c r="S44" s="185"/>
      <c r="T44" s="185"/>
      <c r="U44" s="185"/>
      <c r="V44" s="185"/>
      <c r="W44" s="185"/>
      <c r="X44" s="185"/>
      <c r="Y44" s="185"/>
      <c r="Z44" s="185"/>
    </row>
    <row r="45" spans="1:26" ht="15.75">
      <c r="B45" s="188" t="s">
        <v>102</v>
      </c>
      <c r="C45" s="184">
        <v>6000</v>
      </c>
      <c r="D45" s="184">
        <v>6000</v>
      </c>
      <c r="E45" s="184">
        <f t="shared" ref="E45:E53" si="10">SUM(C45:D45)</f>
        <v>12000</v>
      </c>
      <c r="F45" s="184">
        <v>1000</v>
      </c>
      <c r="G45" s="185"/>
      <c r="H45" s="185"/>
      <c r="I45" s="187"/>
      <c r="J45" s="187"/>
      <c r="K45" s="187"/>
      <c r="L45" s="187"/>
      <c r="M45" s="186" t="s">
        <v>1</v>
      </c>
      <c r="N45" s="187"/>
      <c r="O45" s="185"/>
      <c r="P45" s="185"/>
      <c r="Q45" s="185"/>
      <c r="R45" s="185"/>
      <c r="S45" s="185"/>
      <c r="T45" s="185"/>
      <c r="U45" s="185"/>
      <c r="V45" s="185"/>
      <c r="W45" s="185"/>
      <c r="X45" s="185"/>
      <c r="Y45" s="185"/>
      <c r="Z45" s="185"/>
    </row>
    <row r="46" spans="1:26" ht="15.75">
      <c r="B46" s="188" t="s">
        <v>103</v>
      </c>
      <c r="C46" s="184">
        <v>30000</v>
      </c>
      <c r="D46" s="184">
        <v>6000</v>
      </c>
      <c r="E46" s="184">
        <f t="shared" si="10"/>
        <v>36000</v>
      </c>
      <c r="F46" s="184">
        <v>3000</v>
      </c>
      <c r="G46" s="185"/>
      <c r="H46" s="185"/>
      <c r="I46" s="185"/>
      <c r="J46" s="185"/>
      <c r="K46" s="185"/>
      <c r="L46" s="185"/>
      <c r="M46" s="186" t="s">
        <v>176</v>
      </c>
      <c r="N46" s="187"/>
      <c r="O46" s="185"/>
      <c r="P46" s="185"/>
      <c r="Q46" s="185"/>
      <c r="R46" s="185"/>
      <c r="S46" s="185"/>
      <c r="T46" s="185"/>
      <c r="U46" s="185"/>
      <c r="V46" s="185"/>
      <c r="W46" s="185"/>
      <c r="X46" s="185"/>
      <c r="Y46" s="185"/>
      <c r="Z46" s="185"/>
    </row>
    <row r="47" spans="1:26" ht="15.75">
      <c r="B47" s="188" t="s">
        <v>111</v>
      </c>
      <c r="C47" s="184">
        <v>0</v>
      </c>
      <c r="D47" s="184">
        <v>6000</v>
      </c>
      <c r="E47" s="184">
        <f t="shared" si="10"/>
        <v>6000</v>
      </c>
      <c r="F47" s="184">
        <v>3000</v>
      </c>
      <c r="G47" s="185"/>
      <c r="H47" s="185"/>
      <c r="I47" s="189"/>
      <c r="J47" s="189"/>
      <c r="K47" s="189"/>
      <c r="L47" s="189"/>
      <c r="M47" s="186" t="s">
        <v>171</v>
      </c>
      <c r="N47" s="187"/>
      <c r="O47" s="185"/>
      <c r="P47" s="185"/>
      <c r="Q47" s="185"/>
      <c r="R47" s="185"/>
      <c r="S47" s="185"/>
      <c r="T47" s="185"/>
      <c r="U47" s="185"/>
      <c r="V47" s="185"/>
      <c r="W47" s="185"/>
      <c r="X47" s="185"/>
      <c r="Y47" s="185"/>
      <c r="Z47" s="185"/>
    </row>
    <row r="48" spans="1:26" ht="15.75">
      <c r="B48" s="188" t="s">
        <v>105</v>
      </c>
      <c r="C48" s="184">
        <v>0</v>
      </c>
      <c r="D48" s="184">
        <v>6000</v>
      </c>
      <c r="E48" s="184">
        <f t="shared" si="10"/>
        <v>6000</v>
      </c>
      <c r="F48" s="184">
        <v>3000</v>
      </c>
      <c r="G48" s="185"/>
      <c r="H48" s="185"/>
      <c r="I48" s="189"/>
      <c r="J48" s="189"/>
      <c r="K48" s="189"/>
      <c r="L48" s="189"/>
      <c r="M48" s="186" t="s">
        <v>171</v>
      </c>
      <c r="N48" s="187"/>
      <c r="O48" s="185"/>
      <c r="P48" s="185"/>
      <c r="Q48" s="185"/>
      <c r="R48" s="185"/>
      <c r="S48" s="185"/>
      <c r="T48" s="185"/>
      <c r="U48" s="185"/>
      <c r="V48" s="185"/>
      <c r="W48" s="185"/>
      <c r="X48" s="185"/>
      <c r="Y48" s="185"/>
      <c r="Z48" s="185"/>
    </row>
    <row r="49" spans="1:26" ht="15.75">
      <c r="B49" s="188" t="s">
        <v>106</v>
      </c>
      <c r="C49" s="184">
        <v>0</v>
      </c>
      <c r="D49" s="184">
        <v>6000</v>
      </c>
      <c r="E49" s="184">
        <f t="shared" si="10"/>
        <v>6000</v>
      </c>
      <c r="F49" s="184">
        <v>0</v>
      </c>
      <c r="G49" s="185"/>
      <c r="H49" s="185"/>
      <c r="I49" s="189"/>
      <c r="J49" s="185"/>
      <c r="K49" s="185"/>
      <c r="L49" s="185"/>
      <c r="M49" s="186" t="s">
        <v>173</v>
      </c>
      <c r="N49" s="187"/>
      <c r="O49" s="185"/>
      <c r="P49" s="185"/>
      <c r="Q49" s="185"/>
      <c r="R49" s="185"/>
      <c r="S49" s="185"/>
      <c r="T49" s="185"/>
      <c r="U49" s="185"/>
      <c r="V49" s="185"/>
      <c r="W49" s="185"/>
      <c r="X49" s="185"/>
      <c r="Y49" s="185"/>
      <c r="Z49" s="185"/>
    </row>
    <row r="50" spans="1:26" ht="15.75">
      <c r="B50" s="188" t="s">
        <v>107</v>
      </c>
      <c r="C50" s="184">
        <v>30000</v>
      </c>
      <c r="D50" s="184">
        <v>6000</v>
      </c>
      <c r="E50" s="184">
        <f t="shared" si="10"/>
        <v>36000</v>
      </c>
      <c r="F50" s="184">
        <v>0</v>
      </c>
      <c r="G50" s="185"/>
      <c r="H50" s="185"/>
      <c r="I50" s="185"/>
      <c r="J50" s="185"/>
      <c r="K50" s="185"/>
      <c r="L50" s="185"/>
      <c r="M50" s="186" t="s">
        <v>174</v>
      </c>
      <c r="N50" s="187"/>
      <c r="O50" s="185"/>
      <c r="P50" s="185"/>
      <c r="Q50" s="185"/>
      <c r="R50" s="185"/>
      <c r="S50" s="185"/>
      <c r="T50" s="185"/>
      <c r="U50" s="185"/>
      <c r="V50" s="185"/>
      <c r="W50" s="185"/>
      <c r="X50" s="185"/>
      <c r="Y50" s="185"/>
      <c r="Z50" s="185"/>
    </row>
    <row r="51" spans="1:26" ht="15.75">
      <c r="B51" s="188" t="s">
        <v>172</v>
      </c>
      <c r="C51" s="184">
        <v>5000</v>
      </c>
      <c r="D51" s="184">
        <v>5000</v>
      </c>
      <c r="E51" s="184">
        <f t="shared" si="10"/>
        <v>10000</v>
      </c>
      <c r="F51" s="184">
        <v>0</v>
      </c>
      <c r="G51" s="185"/>
      <c r="H51" s="185"/>
      <c r="I51" s="187"/>
      <c r="J51" s="185"/>
      <c r="K51" s="185"/>
      <c r="L51" s="185"/>
      <c r="M51" s="186" t="s">
        <v>175</v>
      </c>
      <c r="N51" s="187"/>
      <c r="O51" s="185"/>
      <c r="P51" s="185"/>
      <c r="Q51" s="185"/>
      <c r="R51" s="185"/>
      <c r="S51" s="185"/>
      <c r="T51" s="185"/>
      <c r="U51" s="185"/>
      <c r="V51" s="185"/>
      <c r="W51" s="185"/>
      <c r="X51" s="185"/>
      <c r="Y51" s="185"/>
      <c r="Z51" s="185"/>
    </row>
    <row r="52" spans="1:26" ht="15.75">
      <c r="B52" s="188" t="s">
        <v>40</v>
      </c>
      <c r="C52" s="184">
        <v>5000</v>
      </c>
      <c r="D52" s="184">
        <v>5000</v>
      </c>
      <c r="E52" s="184">
        <f t="shared" si="10"/>
        <v>10000</v>
      </c>
      <c r="F52" s="184">
        <v>0</v>
      </c>
      <c r="G52" s="185"/>
      <c r="H52" s="185"/>
      <c r="I52" s="187"/>
      <c r="J52" s="185"/>
      <c r="K52" s="185"/>
      <c r="L52" s="185"/>
      <c r="M52" s="186" t="s">
        <v>177</v>
      </c>
      <c r="N52" s="187"/>
      <c r="O52" s="185"/>
      <c r="P52" s="185"/>
      <c r="Q52" s="185"/>
      <c r="R52" s="185"/>
      <c r="S52" s="185"/>
      <c r="T52" s="185"/>
      <c r="U52" s="185"/>
      <c r="V52" s="185"/>
      <c r="W52" s="185"/>
      <c r="X52" s="185"/>
      <c r="Y52" s="185"/>
      <c r="Z52" s="185"/>
    </row>
    <row r="53" spans="1:26" ht="15.75">
      <c r="B53" s="188" t="s">
        <v>41</v>
      </c>
      <c r="C53" s="184">
        <v>10000</v>
      </c>
      <c r="D53" s="184">
        <v>2000</v>
      </c>
      <c r="E53" s="184">
        <f t="shared" si="10"/>
        <v>12000</v>
      </c>
      <c r="F53" s="184">
        <v>2000</v>
      </c>
      <c r="G53" s="185"/>
      <c r="H53" s="185"/>
      <c r="I53" s="187"/>
      <c r="J53" s="185"/>
      <c r="K53" s="185"/>
      <c r="L53" s="185"/>
      <c r="M53" s="186"/>
      <c r="N53" s="187"/>
      <c r="O53" s="185"/>
      <c r="P53" s="185"/>
      <c r="Q53" s="185"/>
      <c r="R53" s="185"/>
      <c r="S53" s="185"/>
      <c r="T53" s="185"/>
      <c r="U53" s="185"/>
      <c r="V53" s="185"/>
      <c r="W53" s="185"/>
      <c r="X53" s="185"/>
      <c r="Y53" s="185"/>
      <c r="Z53" s="185"/>
    </row>
    <row r="54" spans="1:26" s="50" customFormat="1" ht="15.75">
      <c r="B54" s="190" t="s">
        <v>110</v>
      </c>
      <c r="C54" s="191">
        <v>0</v>
      </c>
      <c r="D54" s="191">
        <v>0</v>
      </c>
      <c r="E54" s="191">
        <v>0</v>
      </c>
      <c r="F54" s="191">
        <v>0</v>
      </c>
      <c r="G54" s="185"/>
      <c r="H54" s="185"/>
      <c r="I54" s="187"/>
      <c r="J54" s="187"/>
      <c r="K54" s="187"/>
      <c r="L54" s="187"/>
      <c r="M54" s="186" t="s">
        <v>170</v>
      </c>
      <c r="N54" s="187"/>
      <c r="O54" s="185"/>
      <c r="P54" s="185"/>
      <c r="Q54" s="185"/>
      <c r="R54" s="185"/>
      <c r="S54" s="185"/>
      <c r="T54" s="185"/>
      <c r="U54" s="185"/>
      <c r="V54" s="185"/>
      <c r="W54" s="185"/>
      <c r="X54" s="185"/>
      <c r="Y54" s="185"/>
      <c r="Z54" s="185"/>
    </row>
    <row r="55" spans="1:26" s="50" customFormat="1" ht="15.75">
      <c r="B55" s="190" t="s">
        <v>104</v>
      </c>
      <c r="C55" s="191">
        <v>0</v>
      </c>
      <c r="D55" s="191">
        <v>0</v>
      </c>
      <c r="E55" s="191">
        <v>0</v>
      </c>
      <c r="F55" s="191">
        <v>0</v>
      </c>
      <c r="G55" s="192"/>
      <c r="H55" s="192"/>
      <c r="I55" s="192"/>
      <c r="J55" s="192"/>
      <c r="K55" s="192"/>
      <c r="L55" s="192"/>
      <c r="M55" s="186" t="s">
        <v>170</v>
      </c>
      <c r="N55" s="187"/>
      <c r="O55" s="185"/>
      <c r="P55" s="185"/>
      <c r="Q55" s="185"/>
      <c r="R55" s="185"/>
      <c r="S55" s="185"/>
      <c r="T55" s="185"/>
      <c r="U55" s="185"/>
      <c r="V55" s="185"/>
      <c r="W55" s="185"/>
      <c r="X55" s="185"/>
      <c r="Y55" s="185"/>
      <c r="Z55" s="185"/>
    </row>
    <row r="56" spans="1:26" ht="15.75">
      <c r="B56" s="183" t="str">
        <f>CONCATENATE("Subtotal ",B44)</f>
        <v>Subtotal Tool Development</v>
      </c>
      <c r="C56" s="193">
        <f>SUM(C45:C55)</f>
        <v>86000</v>
      </c>
      <c r="D56" s="193">
        <f>SUM(D45:D55)</f>
        <v>48000</v>
      </c>
      <c r="E56" s="193">
        <f>SUM(E45:E55)</f>
        <v>134000</v>
      </c>
      <c r="F56" s="193">
        <f>SUM(F45:F55)</f>
        <v>12000</v>
      </c>
      <c r="G56" s="185"/>
      <c r="H56" s="185"/>
      <c r="I56" s="185"/>
      <c r="J56" s="185"/>
      <c r="K56" s="185"/>
      <c r="L56" s="185"/>
      <c r="M56" s="186"/>
      <c r="N56" s="187"/>
      <c r="O56" s="185"/>
      <c r="P56" s="185"/>
      <c r="Q56" s="185"/>
      <c r="R56" s="185"/>
      <c r="S56" s="185"/>
      <c r="T56" s="185"/>
      <c r="U56" s="185"/>
      <c r="V56" s="185"/>
      <c r="W56" s="185"/>
      <c r="X56" s="185"/>
      <c r="Y56" s="185"/>
      <c r="Z56" s="185"/>
    </row>
    <row r="57" spans="1:26" ht="15.75">
      <c r="B57" s="188"/>
      <c r="C57" s="184"/>
      <c r="D57" s="184"/>
      <c r="E57" s="184"/>
      <c r="F57" s="185"/>
      <c r="G57" s="185"/>
      <c r="H57" s="185"/>
      <c r="I57" s="185"/>
      <c r="J57" s="185"/>
      <c r="K57" s="185"/>
      <c r="L57" s="185"/>
      <c r="M57" s="186"/>
      <c r="N57" s="187"/>
      <c r="O57" s="185"/>
      <c r="P57" s="185"/>
      <c r="Q57" s="185"/>
      <c r="R57" s="185"/>
      <c r="S57" s="185"/>
      <c r="T57" s="185"/>
      <c r="U57" s="185"/>
      <c r="V57" s="185"/>
      <c r="W57" s="185"/>
      <c r="X57" s="185"/>
      <c r="Y57" s="185"/>
      <c r="Z57" s="185"/>
    </row>
    <row r="58" spans="1:26" ht="15.75">
      <c r="B58" s="188"/>
      <c r="C58" s="184"/>
      <c r="D58" s="184"/>
      <c r="E58" s="184"/>
      <c r="F58" s="185"/>
      <c r="G58" s="185"/>
      <c r="H58" s="185"/>
      <c r="I58" s="185"/>
      <c r="J58" s="185"/>
      <c r="K58" s="185"/>
      <c r="L58" s="185"/>
      <c r="M58" s="186"/>
      <c r="N58" s="187"/>
      <c r="O58" s="185"/>
      <c r="P58" s="185"/>
      <c r="Q58" s="185"/>
      <c r="R58" s="185"/>
      <c r="S58" s="185"/>
      <c r="T58" s="185"/>
      <c r="U58" s="185"/>
      <c r="V58" s="185"/>
      <c r="W58" s="185"/>
      <c r="X58" s="185"/>
      <c r="Y58" s="185"/>
      <c r="Z58" s="185"/>
    </row>
    <row r="59" spans="1:26" ht="15.75">
      <c r="B59" s="183" t="str">
        <f>'[1]Category (2012)'!B10</f>
        <v>Research Projects &amp; Data Development</v>
      </c>
      <c r="C59" s="184"/>
      <c r="D59" s="184"/>
      <c r="E59" s="184"/>
      <c r="F59" s="185"/>
      <c r="G59" s="185"/>
      <c r="H59" s="185"/>
      <c r="I59" s="185"/>
      <c r="J59" s="185"/>
      <c r="K59" s="185"/>
      <c r="L59" s="185"/>
      <c r="M59" s="186"/>
      <c r="N59" s="187"/>
      <c r="O59" s="185"/>
      <c r="P59" s="185"/>
      <c r="Q59" s="185"/>
      <c r="R59" s="185"/>
      <c r="S59" s="185"/>
      <c r="T59" s="185"/>
      <c r="U59" s="185"/>
      <c r="V59" s="185"/>
      <c r="W59" s="185"/>
      <c r="X59" s="185"/>
      <c r="Y59" s="185"/>
      <c r="Z59" s="185"/>
    </row>
    <row r="60" spans="1:26" ht="15.75">
      <c r="B60" s="188" t="s">
        <v>100</v>
      </c>
      <c r="C60" s="184">
        <v>50000</v>
      </c>
      <c r="D60" s="184">
        <v>12000</v>
      </c>
      <c r="E60" s="184">
        <f>SUM(C60:D60)</f>
        <v>62000</v>
      </c>
      <c r="F60" s="194">
        <f>1/2*D60</f>
        <v>6000</v>
      </c>
      <c r="G60" s="185"/>
      <c r="H60" s="185"/>
      <c r="I60" s="185"/>
      <c r="J60" s="185"/>
      <c r="K60" s="185"/>
      <c r="L60" s="185"/>
      <c r="M60" s="186"/>
      <c r="N60" s="187"/>
      <c r="O60" s="185"/>
      <c r="P60" s="185"/>
      <c r="Q60" s="185"/>
      <c r="R60" s="185"/>
      <c r="S60" s="185"/>
      <c r="T60" s="185"/>
      <c r="U60" s="185"/>
      <c r="V60" s="185"/>
      <c r="W60" s="185"/>
      <c r="X60" s="185"/>
      <c r="Y60" s="185"/>
      <c r="Z60" s="185"/>
    </row>
    <row r="61" spans="1:26" ht="15.75">
      <c r="A61" s="237" t="s">
        <v>289</v>
      </c>
      <c r="B61" s="188" t="s">
        <v>121</v>
      </c>
      <c r="C61" s="184">
        <v>50000</v>
      </c>
      <c r="D61" s="184">
        <v>12000</v>
      </c>
      <c r="E61" s="184">
        <f>SUM(C61:D61)</f>
        <v>62000</v>
      </c>
      <c r="F61" s="194">
        <f>1/2*D61</f>
        <v>6000</v>
      </c>
      <c r="G61" s="185"/>
      <c r="H61" s="185"/>
      <c r="I61" s="187"/>
      <c r="J61" s="185"/>
      <c r="K61" s="185"/>
      <c r="L61" s="185"/>
      <c r="M61" s="186"/>
      <c r="N61" s="187"/>
      <c r="O61" s="185"/>
      <c r="P61" s="185"/>
      <c r="Q61" s="185"/>
      <c r="R61" s="185"/>
      <c r="S61" s="185"/>
      <c r="T61" s="185"/>
      <c r="U61" s="185"/>
      <c r="V61" s="185"/>
      <c r="W61" s="185"/>
      <c r="X61" s="185"/>
      <c r="Y61" s="185"/>
      <c r="Z61" s="185"/>
    </row>
    <row r="62" spans="1:26" ht="15.75">
      <c r="B62" s="188" t="s">
        <v>30</v>
      </c>
      <c r="C62" s="184">
        <v>30000</v>
      </c>
      <c r="D62" s="184">
        <v>12000</v>
      </c>
      <c r="E62" s="184">
        <f>SUM(C62:D62)</f>
        <v>42000</v>
      </c>
      <c r="F62" s="194">
        <f>1/2*D62</f>
        <v>6000</v>
      </c>
      <c r="G62" s="185"/>
      <c r="H62" s="185"/>
      <c r="I62" s="187"/>
      <c r="J62" s="187"/>
      <c r="K62" s="187"/>
      <c r="L62" s="187"/>
      <c r="M62" s="195"/>
      <c r="N62" s="187"/>
      <c r="O62" s="185"/>
      <c r="P62" s="185"/>
      <c r="Q62" s="185"/>
      <c r="R62" s="185"/>
      <c r="S62" s="185"/>
      <c r="T62" s="185"/>
      <c r="U62" s="185"/>
      <c r="V62" s="185"/>
      <c r="W62" s="185"/>
      <c r="X62" s="185"/>
      <c r="Y62" s="185"/>
      <c r="Z62" s="185"/>
    </row>
    <row r="63" spans="1:26" ht="15.75">
      <c r="B63" s="188" t="s">
        <v>23</v>
      </c>
      <c r="C63" s="184">
        <v>50000</v>
      </c>
      <c r="D63" s="184">
        <v>12000</v>
      </c>
      <c r="E63" s="184">
        <f>SUM(C63:D63)</f>
        <v>62000</v>
      </c>
      <c r="F63" s="194">
        <f>1/2*D63</f>
        <v>6000</v>
      </c>
      <c r="G63" s="185"/>
      <c r="H63" s="185"/>
      <c r="I63" s="185"/>
      <c r="J63" s="185"/>
      <c r="K63" s="185"/>
      <c r="L63" s="185"/>
      <c r="M63" s="186"/>
      <c r="N63" s="187"/>
      <c r="O63" s="185"/>
      <c r="P63" s="185"/>
      <c r="Q63" s="185"/>
      <c r="R63" s="185"/>
      <c r="S63" s="185"/>
      <c r="T63" s="185"/>
      <c r="U63" s="185"/>
      <c r="V63" s="185"/>
      <c r="W63" s="185"/>
      <c r="X63" s="185"/>
      <c r="Y63" s="185"/>
      <c r="Z63" s="185"/>
    </row>
    <row r="64" spans="1:26" ht="15.75">
      <c r="B64" s="183" t="str">
        <f>CONCATENATE("Subtotal ",B59)</f>
        <v>Subtotal Research Projects &amp; Data Development</v>
      </c>
      <c r="C64" s="193">
        <f>SUM(C60:C63)</f>
        <v>180000</v>
      </c>
      <c r="D64" s="193">
        <f>SUM(D60:D63)</f>
        <v>48000</v>
      </c>
      <c r="E64" s="193">
        <f>SUM(E60:E63)</f>
        <v>228000</v>
      </c>
      <c r="F64" s="193">
        <f>SUM(F60:F63)</f>
        <v>24000</v>
      </c>
      <c r="G64" s="185"/>
      <c r="H64" s="185"/>
      <c r="I64" s="185"/>
      <c r="J64" s="185"/>
      <c r="K64" s="185"/>
      <c r="L64" s="185"/>
      <c r="M64" s="186"/>
      <c r="N64" s="187"/>
      <c r="O64" s="185"/>
      <c r="P64" s="185"/>
      <c r="Q64" s="185"/>
      <c r="R64" s="185"/>
      <c r="S64" s="185"/>
      <c r="T64" s="185"/>
      <c r="U64" s="185"/>
      <c r="V64" s="185"/>
      <c r="W64" s="185"/>
      <c r="X64" s="185"/>
      <c r="Y64" s="185"/>
      <c r="Z64" s="185"/>
    </row>
    <row r="65" spans="2:26">
      <c r="B65" s="185"/>
      <c r="C65" s="184"/>
      <c r="D65" s="184"/>
      <c r="E65" s="184"/>
      <c r="F65" s="185"/>
      <c r="G65" s="185"/>
      <c r="H65" s="185"/>
      <c r="I65" s="185"/>
      <c r="J65" s="185"/>
      <c r="K65" s="185"/>
      <c r="L65" s="185"/>
      <c r="M65" s="186"/>
      <c r="N65" s="187"/>
      <c r="O65" s="185"/>
      <c r="P65" s="185"/>
      <c r="Q65" s="185"/>
      <c r="R65" s="185"/>
      <c r="S65" s="185"/>
      <c r="T65" s="185"/>
      <c r="U65" s="185"/>
      <c r="V65" s="185"/>
      <c r="W65" s="185"/>
      <c r="X65" s="185"/>
      <c r="Y65" s="185"/>
      <c r="Z65" s="185"/>
    </row>
    <row r="66" spans="2:26" ht="15.75">
      <c r="B66" s="188"/>
      <c r="C66" s="184"/>
      <c r="D66" s="184"/>
      <c r="E66" s="184"/>
      <c r="F66" s="185"/>
      <c r="G66" s="185"/>
      <c r="H66" s="185"/>
      <c r="I66" s="185"/>
      <c r="J66" s="185"/>
      <c r="K66" s="185"/>
      <c r="L66" s="185"/>
      <c r="M66" s="186"/>
      <c r="N66" s="187"/>
      <c r="O66" s="185"/>
      <c r="P66" s="185"/>
      <c r="Q66" s="185"/>
      <c r="R66" s="185"/>
      <c r="S66" s="185"/>
      <c r="T66" s="185"/>
      <c r="U66" s="185"/>
      <c r="V66" s="185"/>
      <c r="W66" s="185"/>
      <c r="X66" s="185"/>
      <c r="Y66" s="185"/>
      <c r="Z66" s="185"/>
    </row>
    <row r="67" spans="2:26" ht="15.75">
      <c r="B67" s="183" t="str">
        <f>'[1]Category (2012)'!B11</f>
        <v>Regional Coordination</v>
      </c>
      <c r="C67" s="184"/>
      <c r="D67" s="184"/>
      <c r="E67" s="184"/>
      <c r="F67" s="185"/>
      <c r="G67" s="185"/>
      <c r="H67" s="185"/>
      <c r="I67" s="185"/>
      <c r="J67" s="185"/>
      <c r="K67" s="185"/>
      <c r="L67" s="185"/>
      <c r="M67" s="186"/>
      <c r="N67" s="187"/>
      <c r="O67" s="185"/>
      <c r="P67" s="185"/>
      <c r="Q67" s="185"/>
      <c r="R67" s="185"/>
      <c r="S67" s="185"/>
      <c r="T67" s="185"/>
      <c r="U67" s="185"/>
      <c r="V67" s="185"/>
      <c r="W67" s="185"/>
      <c r="X67" s="185"/>
      <c r="Y67" s="185"/>
      <c r="Z67" s="185"/>
    </row>
    <row r="68" spans="2:26" ht="15.75">
      <c r="B68" s="188" t="s">
        <v>239</v>
      </c>
      <c r="C68" s="184">
        <v>0</v>
      </c>
      <c r="D68" s="184">
        <v>6000</v>
      </c>
      <c r="E68" s="184">
        <f>SUM(C68:D68)</f>
        <v>6000</v>
      </c>
      <c r="F68" s="184">
        <v>2000</v>
      </c>
      <c r="G68" s="185"/>
      <c r="H68" s="185"/>
      <c r="I68" s="196"/>
      <c r="J68" s="196"/>
      <c r="K68" s="196"/>
      <c r="L68" s="196"/>
      <c r="M68" s="186" t="s">
        <v>178</v>
      </c>
      <c r="N68" s="187"/>
      <c r="O68" s="185"/>
      <c r="P68" s="185"/>
      <c r="Q68" s="185"/>
      <c r="R68" s="185"/>
      <c r="S68" s="185"/>
      <c r="T68" s="185"/>
      <c r="U68" s="185"/>
      <c r="V68" s="185"/>
      <c r="W68" s="185"/>
      <c r="X68" s="185"/>
      <c r="Y68" s="185"/>
      <c r="Z68" s="185"/>
    </row>
    <row r="69" spans="2:26" ht="15.75">
      <c r="B69" s="188" t="s">
        <v>118</v>
      </c>
      <c r="C69" s="184">
        <v>0</v>
      </c>
      <c r="D69" s="184">
        <v>12000</v>
      </c>
      <c r="E69" s="184">
        <f>SUM(C69:D69)</f>
        <v>12000</v>
      </c>
      <c r="F69" s="184">
        <v>2000</v>
      </c>
      <c r="G69" s="185"/>
      <c r="H69" s="185"/>
      <c r="I69" s="185"/>
      <c r="J69" s="185"/>
      <c r="K69" s="185"/>
      <c r="L69" s="185"/>
      <c r="M69" s="186" t="s">
        <v>179</v>
      </c>
      <c r="N69" s="187"/>
      <c r="O69" s="185"/>
      <c r="P69" s="185"/>
      <c r="Q69" s="185"/>
      <c r="R69" s="185"/>
      <c r="S69" s="185"/>
      <c r="T69" s="185"/>
      <c r="U69" s="185"/>
      <c r="V69" s="185"/>
      <c r="W69" s="185"/>
      <c r="X69" s="185"/>
      <c r="Y69" s="185"/>
      <c r="Z69" s="185"/>
    </row>
    <row r="70" spans="2:26" ht="15.75">
      <c r="B70" s="188" t="s">
        <v>39</v>
      </c>
      <c r="C70" s="184">
        <v>0</v>
      </c>
      <c r="D70" s="184">
        <v>24000</v>
      </c>
      <c r="E70" s="184">
        <f>SUM(C70:D70)</f>
        <v>24000</v>
      </c>
      <c r="F70" s="184">
        <v>2000</v>
      </c>
      <c r="G70" s="185"/>
      <c r="H70" s="185"/>
      <c r="I70" s="185"/>
      <c r="J70" s="185"/>
      <c r="K70" s="185"/>
      <c r="L70" s="185"/>
      <c r="M70" s="186"/>
      <c r="N70" s="187"/>
      <c r="O70" s="185"/>
      <c r="P70" s="185"/>
      <c r="Q70" s="185"/>
      <c r="R70" s="185"/>
      <c r="S70" s="185"/>
      <c r="T70" s="185"/>
      <c r="U70" s="185"/>
      <c r="V70" s="185"/>
      <c r="W70" s="185"/>
      <c r="X70" s="185"/>
      <c r="Y70" s="185"/>
      <c r="Z70" s="185"/>
    </row>
    <row r="71" spans="2:26" ht="15.75">
      <c r="B71" s="188" t="s">
        <v>0</v>
      </c>
      <c r="C71" s="184">
        <v>0</v>
      </c>
      <c r="D71" s="184">
        <f>40*150</f>
        <v>6000</v>
      </c>
      <c r="E71" s="184">
        <f>SUM(C71:D71)</f>
        <v>6000</v>
      </c>
      <c r="F71" s="184">
        <v>4000</v>
      </c>
      <c r="G71" s="185"/>
      <c r="H71" s="185"/>
      <c r="I71" s="185"/>
      <c r="J71" s="185"/>
      <c r="K71" s="185"/>
      <c r="L71" s="185"/>
      <c r="M71" s="186" t="s">
        <v>240</v>
      </c>
      <c r="N71" s="187"/>
      <c r="O71" s="185"/>
      <c r="P71" s="185"/>
      <c r="Q71" s="185"/>
      <c r="R71" s="185"/>
      <c r="S71" s="185"/>
      <c r="T71" s="185"/>
      <c r="U71" s="185"/>
      <c r="V71" s="185"/>
      <c r="W71" s="185"/>
      <c r="X71" s="185"/>
      <c r="Y71" s="185"/>
      <c r="Z71" s="185"/>
    </row>
    <row r="72" spans="2:26" ht="15.75">
      <c r="B72" s="188" t="s">
        <v>23</v>
      </c>
      <c r="C72" s="184">
        <v>0</v>
      </c>
      <c r="D72" s="184">
        <v>10000</v>
      </c>
      <c r="E72" s="184">
        <f>SUM(C72:D72)</f>
        <v>10000</v>
      </c>
      <c r="F72" s="184">
        <v>2000</v>
      </c>
      <c r="G72" s="185"/>
      <c r="H72" s="185"/>
      <c r="I72" s="185"/>
      <c r="J72" s="185"/>
      <c r="K72" s="185"/>
      <c r="L72" s="185"/>
      <c r="M72" s="186"/>
      <c r="N72" s="187"/>
      <c r="O72" s="185"/>
      <c r="P72" s="185"/>
      <c r="Q72" s="185"/>
      <c r="R72" s="185"/>
      <c r="S72" s="185"/>
      <c r="T72" s="185"/>
      <c r="U72" s="185"/>
      <c r="V72" s="185"/>
      <c r="W72" s="185"/>
      <c r="X72" s="185"/>
      <c r="Y72" s="185"/>
      <c r="Z72" s="185"/>
    </row>
    <row r="73" spans="2:26" ht="15.75">
      <c r="B73" s="183" t="str">
        <f>CONCATENATE("Subtotal ",B67)</f>
        <v>Subtotal Regional Coordination</v>
      </c>
      <c r="C73" s="193">
        <f>SUM(C68:C72)</f>
        <v>0</v>
      </c>
      <c r="D73" s="193">
        <f>SUM(D68:D72)</f>
        <v>58000</v>
      </c>
      <c r="E73" s="193">
        <f>SUM(E68:E72)</f>
        <v>58000</v>
      </c>
      <c r="F73" s="193">
        <f>SUM(F68:F72)</f>
        <v>12000</v>
      </c>
      <c r="G73" s="185"/>
      <c r="H73" s="185"/>
      <c r="I73" s="185"/>
      <c r="J73" s="185"/>
      <c r="K73" s="185"/>
      <c r="L73" s="185"/>
      <c r="M73" s="186"/>
      <c r="N73" s="187"/>
      <c r="O73" s="185"/>
      <c r="P73" s="185"/>
      <c r="Q73" s="185"/>
      <c r="R73" s="185"/>
      <c r="S73" s="185"/>
      <c r="T73" s="185"/>
      <c r="U73" s="185"/>
      <c r="V73" s="185"/>
      <c r="W73" s="185"/>
      <c r="X73" s="185"/>
      <c r="Y73" s="185"/>
      <c r="Z73" s="185"/>
    </row>
    <row r="74" spans="2:26">
      <c r="B74" s="185"/>
      <c r="C74" s="184"/>
      <c r="D74" s="184"/>
      <c r="E74" s="184"/>
      <c r="F74" s="185"/>
      <c r="G74" s="185"/>
      <c r="H74" s="185"/>
      <c r="I74" s="185"/>
      <c r="J74" s="185"/>
      <c r="K74" s="185"/>
      <c r="L74" s="185"/>
      <c r="M74" s="186"/>
      <c r="N74" s="187"/>
      <c r="O74" s="185"/>
      <c r="P74" s="185"/>
      <c r="Q74" s="185"/>
      <c r="R74" s="185"/>
      <c r="S74" s="185"/>
      <c r="T74" s="185"/>
      <c r="U74" s="185"/>
      <c r="V74" s="185"/>
      <c r="W74" s="185"/>
      <c r="X74" s="185"/>
      <c r="Y74" s="185"/>
      <c r="Z74" s="185"/>
    </row>
    <row r="75" spans="2:26" ht="15.75">
      <c r="B75" s="1"/>
      <c r="C75" s="3"/>
      <c r="D75" s="3"/>
      <c r="E75" s="3"/>
      <c r="M75" s="8"/>
    </row>
    <row r="76" spans="2:26" ht="15.75">
      <c r="B76" s="176" t="str">
        <f>'[1]Category (2012)'!B12</f>
        <v xml:space="preserve">Website, Database support, Conservation Tracking </v>
      </c>
      <c r="C76" s="177"/>
      <c r="D76" s="177"/>
      <c r="E76" s="177"/>
      <c r="F76" s="178"/>
      <c r="G76" s="178"/>
      <c r="H76" s="178"/>
      <c r="I76" s="178"/>
      <c r="J76" s="178"/>
      <c r="K76" s="178"/>
      <c r="L76" s="178"/>
      <c r="M76" s="179"/>
      <c r="N76" s="180"/>
      <c r="O76" s="178"/>
      <c r="P76" s="178"/>
      <c r="Q76" s="178"/>
      <c r="R76" s="178"/>
      <c r="S76" s="178"/>
      <c r="T76" s="178"/>
      <c r="U76" s="178"/>
      <c r="V76" s="178"/>
      <c r="W76" s="178"/>
      <c r="X76" s="178"/>
      <c r="Y76" s="178"/>
      <c r="Z76" s="178"/>
    </row>
    <row r="77" spans="2:26" ht="15.75">
      <c r="B77" s="181" t="s">
        <v>120</v>
      </c>
      <c r="C77" s="177">
        <v>0</v>
      </c>
      <c r="D77" s="177">
        <v>0</v>
      </c>
      <c r="E77" s="177">
        <f>SUM(C77:D77)</f>
        <v>0</v>
      </c>
      <c r="F77" s="177">
        <v>30000</v>
      </c>
      <c r="G77" s="178"/>
      <c r="H77" s="178"/>
      <c r="I77" s="178"/>
      <c r="J77" s="178"/>
      <c r="K77" s="178"/>
      <c r="L77" s="178"/>
      <c r="M77" s="179"/>
      <c r="N77" s="180"/>
      <c r="O77" s="178"/>
      <c r="P77" s="178"/>
      <c r="Q77" s="178"/>
      <c r="R77" s="178"/>
      <c r="S77" s="178"/>
      <c r="T77" s="178"/>
      <c r="U77" s="178"/>
      <c r="V77" s="178"/>
      <c r="W77" s="178"/>
      <c r="X77" s="178"/>
      <c r="Y77" s="178"/>
      <c r="Z77" s="178"/>
    </row>
    <row r="78" spans="2:26" ht="15.75">
      <c r="B78" s="181" t="s">
        <v>119</v>
      </c>
      <c r="C78" s="177">
        <v>0</v>
      </c>
      <c r="D78" s="177">
        <v>0</v>
      </c>
      <c r="E78" s="177">
        <f>SUM(C78:D78)</f>
        <v>0</v>
      </c>
      <c r="F78" s="177">
        <v>12000</v>
      </c>
      <c r="G78" s="178"/>
      <c r="H78" s="178"/>
      <c r="I78" s="178"/>
      <c r="J78" s="178"/>
      <c r="K78" s="178"/>
      <c r="L78" s="178"/>
      <c r="M78" s="179"/>
      <c r="N78" s="180"/>
      <c r="O78" s="178"/>
      <c r="P78" s="178"/>
      <c r="Q78" s="178"/>
      <c r="R78" s="178"/>
      <c r="S78" s="178"/>
      <c r="T78" s="178"/>
      <c r="U78" s="178"/>
      <c r="V78" s="178"/>
      <c r="W78" s="178"/>
      <c r="X78" s="178"/>
      <c r="Y78" s="178"/>
      <c r="Z78" s="178"/>
    </row>
    <row r="79" spans="2:26" ht="15.75">
      <c r="B79" s="181" t="s">
        <v>33</v>
      </c>
      <c r="C79" s="177">
        <v>0</v>
      </c>
      <c r="D79" s="177">
        <v>0</v>
      </c>
      <c r="E79" s="177">
        <f>SUM(C79:D79)</f>
        <v>0</v>
      </c>
      <c r="F79" s="177">
        <v>8000</v>
      </c>
      <c r="G79" s="178"/>
      <c r="H79" s="178"/>
      <c r="I79" s="197"/>
      <c r="J79" s="197"/>
      <c r="K79" s="197"/>
      <c r="L79" s="197"/>
      <c r="M79" s="179" t="s">
        <v>241</v>
      </c>
      <c r="N79" s="180"/>
      <c r="O79" s="178"/>
      <c r="P79" s="178"/>
      <c r="Q79" s="178"/>
      <c r="R79" s="178"/>
      <c r="S79" s="178"/>
      <c r="T79" s="178"/>
      <c r="U79" s="178"/>
      <c r="V79" s="178"/>
      <c r="W79" s="178"/>
      <c r="X79" s="178"/>
      <c r="Y79" s="178"/>
      <c r="Z79" s="178"/>
    </row>
    <row r="80" spans="2:26" ht="15.75">
      <c r="B80" s="176" t="str">
        <f>CONCATENATE("Subtotal ",B76)</f>
        <v xml:space="preserve">Subtotal Website, Database support, Conservation Tracking </v>
      </c>
      <c r="C80" s="182">
        <f>SUM(C77:C79)</f>
        <v>0</v>
      </c>
      <c r="D80" s="182">
        <f>SUM(D77:D79)</f>
        <v>0</v>
      </c>
      <c r="E80" s="182">
        <f>SUM(E77:E79)</f>
        <v>0</v>
      </c>
      <c r="F80" s="182">
        <f>SUM(F77:F79)</f>
        <v>50000</v>
      </c>
      <c r="G80" s="178"/>
      <c r="H80" s="178"/>
      <c r="I80" s="178"/>
      <c r="J80" s="178"/>
      <c r="K80" s="178"/>
      <c r="L80" s="178"/>
      <c r="M80" s="179"/>
      <c r="N80" s="180"/>
      <c r="O80" s="178"/>
      <c r="P80" s="178"/>
      <c r="Q80" s="178"/>
      <c r="R80" s="178"/>
      <c r="S80" s="178"/>
      <c r="T80" s="178"/>
      <c r="U80" s="178"/>
      <c r="V80" s="178"/>
      <c r="W80" s="178"/>
      <c r="X80" s="178"/>
      <c r="Y80" s="178"/>
      <c r="Z80" s="178"/>
    </row>
    <row r="81" spans="2:26" ht="15.75">
      <c r="B81" s="176"/>
      <c r="C81" s="177"/>
      <c r="D81" s="177"/>
      <c r="E81" s="177"/>
      <c r="F81" s="177"/>
      <c r="G81" s="178"/>
      <c r="H81" s="178"/>
      <c r="I81" s="178"/>
      <c r="J81" s="178"/>
      <c r="K81" s="178"/>
      <c r="L81" s="178"/>
      <c r="M81" s="179"/>
      <c r="N81" s="180"/>
      <c r="O81" s="178"/>
      <c r="P81" s="178"/>
      <c r="Q81" s="178"/>
      <c r="R81" s="178"/>
      <c r="S81" s="178"/>
      <c r="T81" s="178"/>
      <c r="U81" s="178"/>
      <c r="V81" s="178"/>
      <c r="W81" s="178"/>
      <c r="X81" s="178"/>
      <c r="Y81" s="178"/>
      <c r="Z81" s="178"/>
    </row>
    <row r="82" spans="2:26" ht="15.75">
      <c r="B82" s="181"/>
      <c r="C82" s="177"/>
      <c r="D82" s="177"/>
      <c r="E82" s="177"/>
      <c r="F82" s="177"/>
      <c r="G82" s="178"/>
      <c r="H82" s="178"/>
      <c r="I82" s="178"/>
      <c r="J82" s="178"/>
      <c r="K82" s="178"/>
      <c r="L82" s="178"/>
      <c r="M82" s="179"/>
      <c r="N82" s="180"/>
      <c r="O82" s="178"/>
      <c r="P82" s="178"/>
      <c r="Q82" s="178"/>
      <c r="R82" s="178"/>
      <c r="S82" s="178"/>
      <c r="T82" s="178"/>
      <c r="U82" s="178"/>
      <c r="V82" s="178"/>
      <c r="W82" s="178"/>
      <c r="X82" s="178"/>
      <c r="Y82" s="178"/>
      <c r="Z82" s="178"/>
    </row>
    <row r="83" spans="2:26" ht="15.75">
      <c r="B83" s="176" t="str">
        <f>'[1]Category (2012)'!B13</f>
        <v>RTF Member Support &amp; Administration</v>
      </c>
      <c r="C83" s="177"/>
      <c r="D83" s="177"/>
      <c r="E83" s="177"/>
      <c r="F83" s="177"/>
      <c r="G83" s="178"/>
      <c r="H83" s="178"/>
      <c r="I83" s="178"/>
      <c r="J83" s="178"/>
      <c r="K83" s="178"/>
      <c r="L83" s="178"/>
      <c r="M83" s="179"/>
      <c r="N83" s="180"/>
      <c r="O83" s="178"/>
      <c r="P83" s="178"/>
      <c r="Q83" s="178"/>
      <c r="R83" s="178"/>
      <c r="S83" s="178"/>
      <c r="T83" s="178"/>
      <c r="U83" s="178"/>
      <c r="V83" s="178"/>
      <c r="W83" s="178"/>
      <c r="X83" s="178"/>
      <c r="Y83" s="178"/>
      <c r="Z83" s="178"/>
    </row>
    <row r="84" spans="2:26" ht="15.75">
      <c r="B84" s="181" t="s">
        <v>34</v>
      </c>
      <c r="C84" s="177">
        <v>24000</v>
      </c>
      <c r="D84" s="177">
        <v>0</v>
      </c>
      <c r="E84" s="177">
        <f>SUM(C84:D84)</f>
        <v>24000</v>
      </c>
      <c r="F84" s="177">
        <v>7000</v>
      </c>
      <c r="G84" s="178"/>
      <c r="H84" s="178"/>
      <c r="I84" s="178"/>
      <c r="J84" s="178"/>
      <c r="K84" s="178"/>
      <c r="L84" s="178"/>
      <c r="M84" s="178" t="s">
        <v>213</v>
      </c>
      <c r="N84" s="180"/>
      <c r="O84" s="178"/>
      <c r="P84" s="178"/>
      <c r="Q84" s="178"/>
      <c r="R84" s="178"/>
      <c r="S84" s="178"/>
      <c r="T84" s="178"/>
      <c r="U84" s="178"/>
      <c r="V84" s="178"/>
      <c r="W84" s="178"/>
      <c r="X84" s="178"/>
      <c r="Y84" s="178"/>
      <c r="Z84" s="178"/>
    </row>
    <row r="85" spans="2:26" ht="15.75">
      <c r="B85" s="181" t="s">
        <v>35</v>
      </c>
      <c r="C85" s="177">
        <v>150000</v>
      </c>
      <c r="D85" s="177">
        <v>0</v>
      </c>
      <c r="E85" s="177">
        <f>SUM(C85:D85)</f>
        <v>150000</v>
      </c>
      <c r="F85" s="177">
        <v>0</v>
      </c>
      <c r="G85" s="178"/>
      <c r="H85" s="178"/>
      <c r="I85" s="178"/>
      <c r="J85" s="178"/>
      <c r="K85" s="178"/>
      <c r="L85" s="178"/>
      <c r="M85" s="179" t="s">
        <v>36</v>
      </c>
      <c r="N85" s="180"/>
      <c r="O85" s="178"/>
      <c r="P85" s="178"/>
      <c r="Q85" s="178"/>
      <c r="R85" s="178"/>
      <c r="S85" s="178"/>
      <c r="T85" s="178"/>
      <c r="U85" s="178"/>
      <c r="V85" s="178"/>
      <c r="W85" s="178"/>
      <c r="X85" s="178"/>
      <c r="Y85" s="178"/>
      <c r="Z85" s="178"/>
    </row>
    <row r="86" spans="2:26" ht="15.75">
      <c r="B86" s="176" t="str">
        <f>CONCATENATE("Subtotal ",B83)</f>
        <v>Subtotal RTF Member Support &amp; Administration</v>
      </c>
      <c r="C86" s="182">
        <f>SUM(C84:C85)</f>
        <v>174000</v>
      </c>
      <c r="D86" s="182">
        <f>SUM(D84:D85)</f>
        <v>0</v>
      </c>
      <c r="E86" s="182">
        <f>SUM(E84:E85)</f>
        <v>174000</v>
      </c>
      <c r="F86" s="182">
        <f>SUM(F84:F85)</f>
        <v>7000</v>
      </c>
      <c r="G86" s="178"/>
      <c r="H86" s="178"/>
      <c r="I86" s="178"/>
      <c r="J86" s="178"/>
      <c r="K86" s="178"/>
      <c r="L86" s="178"/>
      <c r="M86" s="198"/>
      <c r="N86" s="180"/>
      <c r="O86" s="178"/>
      <c r="P86" s="178"/>
      <c r="Q86" s="178"/>
      <c r="R86" s="178"/>
      <c r="S86" s="178"/>
      <c r="T86" s="178"/>
      <c r="U86" s="178"/>
      <c r="V86" s="178"/>
      <c r="W86" s="178"/>
      <c r="X86" s="178"/>
      <c r="Y86" s="178"/>
      <c r="Z86" s="178"/>
    </row>
    <row r="87" spans="2:26">
      <c r="B87" s="178"/>
      <c r="C87" s="177"/>
      <c r="D87" s="177"/>
      <c r="E87" s="177"/>
      <c r="F87" s="177"/>
      <c r="G87" s="178"/>
      <c r="H87" s="178"/>
      <c r="I87" s="178"/>
      <c r="J87" s="178"/>
      <c r="K87" s="178"/>
      <c r="L87" s="178"/>
      <c r="M87" s="198"/>
      <c r="N87" s="180"/>
      <c r="O87" s="178"/>
      <c r="P87" s="178"/>
      <c r="Q87" s="178"/>
      <c r="R87" s="178"/>
      <c r="S87" s="178"/>
      <c r="T87" s="178"/>
      <c r="U87" s="178"/>
      <c r="V87" s="178"/>
      <c r="W87" s="178"/>
      <c r="X87" s="178"/>
      <c r="Y87" s="178"/>
      <c r="Z87" s="178"/>
    </row>
    <row r="88" spans="2:26">
      <c r="B88" s="178"/>
      <c r="C88" s="177"/>
      <c r="D88" s="177"/>
      <c r="E88" s="177"/>
      <c r="F88" s="177"/>
      <c r="G88" s="178"/>
      <c r="H88" s="178"/>
      <c r="I88" s="178"/>
      <c r="J88" s="178"/>
      <c r="K88" s="178"/>
      <c r="L88" s="178"/>
      <c r="M88" s="198"/>
      <c r="N88" s="180"/>
      <c r="O88" s="178"/>
      <c r="P88" s="178"/>
      <c r="Q88" s="178"/>
      <c r="R88" s="178"/>
      <c r="S88" s="178"/>
      <c r="T88" s="178"/>
      <c r="U88" s="178"/>
      <c r="V88" s="178"/>
      <c r="W88" s="178"/>
      <c r="X88" s="178"/>
      <c r="Y88" s="178"/>
      <c r="Z88" s="178"/>
    </row>
    <row r="89" spans="2:26" ht="15.75">
      <c r="B89" s="176" t="s">
        <v>83</v>
      </c>
      <c r="C89" s="177"/>
      <c r="D89" s="177"/>
      <c r="E89" s="177"/>
      <c r="F89" s="177"/>
      <c r="G89" s="178"/>
      <c r="H89" s="178"/>
      <c r="I89" s="178"/>
      <c r="J89" s="178"/>
      <c r="K89" s="178"/>
      <c r="L89" s="178"/>
      <c r="M89" s="198"/>
      <c r="N89" s="180"/>
      <c r="O89" s="178"/>
      <c r="P89" s="178"/>
      <c r="Q89" s="178"/>
      <c r="R89" s="178"/>
      <c r="S89" s="178"/>
      <c r="T89" s="178"/>
      <c r="U89" s="178"/>
      <c r="V89" s="178"/>
      <c r="W89" s="178"/>
      <c r="X89" s="178"/>
      <c r="Y89" s="178"/>
      <c r="Z89" s="178"/>
    </row>
    <row r="90" spans="2:26" ht="15.75">
      <c r="B90" s="181" t="s">
        <v>242</v>
      </c>
      <c r="C90" s="177">
        <v>0</v>
      </c>
      <c r="D90" s="177">
        <v>100000</v>
      </c>
      <c r="E90" s="177">
        <f>SUM(C90:D90)</f>
        <v>100000</v>
      </c>
      <c r="F90" s="177">
        <v>0</v>
      </c>
      <c r="G90" s="178"/>
      <c r="H90" s="178"/>
      <c r="I90" s="178"/>
      <c r="J90" s="178"/>
      <c r="K90" s="178"/>
      <c r="L90" s="178"/>
      <c r="M90" s="198"/>
      <c r="N90" s="180"/>
      <c r="O90" s="178"/>
      <c r="P90" s="178"/>
      <c r="Q90" s="178"/>
      <c r="R90" s="178"/>
      <c r="S90" s="178"/>
      <c r="T90" s="178"/>
      <c r="U90" s="178"/>
      <c r="V90" s="178"/>
      <c r="W90" s="178"/>
      <c r="X90" s="178"/>
      <c r="Y90" s="178"/>
      <c r="Z90" s="178"/>
    </row>
    <row r="91" spans="2:26" ht="15.75">
      <c r="B91" s="181" t="s">
        <v>243</v>
      </c>
      <c r="C91" s="177">
        <v>0</v>
      </c>
      <c r="D91" s="177">
        <v>0</v>
      </c>
      <c r="E91" s="177">
        <f>SUM(C91:D91)</f>
        <v>0</v>
      </c>
      <c r="F91" s="177">
        <v>180000</v>
      </c>
      <c r="G91" s="178"/>
      <c r="H91" s="178"/>
      <c r="I91" s="178"/>
      <c r="J91" s="178"/>
      <c r="K91" s="178"/>
      <c r="L91" s="178"/>
      <c r="M91" s="199"/>
      <c r="N91" s="180"/>
      <c r="O91" s="178"/>
      <c r="P91" s="178"/>
      <c r="Q91" s="178"/>
      <c r="R91" s="178"/>
      <c r="S91" s="178"/>
      <c r="T91" s="178"/>
      <c r="U91" s="178"/>
      <c r="V91" s="178"/>
      <c r="W91" s="178"/>
      <c r="X91" s="178"/>
      <c r="Y91" s="178"/>
      <c r="Z91" s="178"/>
    </row>
    <row r="92" spans="2:26" ht="15.75">
      <c r="B92" s="181" t="s">
        <v>180</v>
      </c>
      <c r="C92" s="177">
        <v>5000</v>
      </c>
      <c r="D92" s="177">
        <v>0</v>
      </c>
      <c r="E92" s="177">
        <f>SUM(C92:D92)</f>
        <v>5000</v>
      </c>
      <c r="F92" s="177">
        <v>0</v>
      </c>
      <c r="G92" s="178"/>
      <c r="H92" s="178"/>
      <c r="I92" s="178"/>
      <c r="J92" s="178"/>
      <c r="K92" s="178"/>
      <c r="L92" s="178"/>
      <c r="M92" s="198"/>
      <c r="N92" s="180"/>
      <c r="O92" s="178"/>
      <c r="P92" s="178"/>
      <c r="Q92" s="178"/>
      <c r="R92" s="178"/>
      <c r="S92" s="178"/>
      <c r="T92" s="178"/>
      <c r="U92" s="178"/>
      <c r="V92" s="178"/>
      <c r="W92" s="178"/>
      <c r="X92" s="178"/>
      <c r="Y92" s="178"/>
      <c r="Z92" s="178"/>
    </row>
    <row r="93" spans="2:26" ht="15.75">
      <c r="B93" s="176" t="str">
        <f>CONCATENATE("Subtotal ",B89)</f>
        <v>Subtotal RTF Management</v>
      </c>
      <c r="C93" s="182">
        <f>SUM(C90:C92)</f>
        <v>5000</v>
      </c>
      <c r="D93" s="182">
        <f>SUM(D90:D92)</f>
        <v>100000</v>
      </c>
      <c r="E93" s="182">
        <f>SUM(E90:E92)</f>
        <v>105000</v>
      </c>
      <c r="F93" s="182">
        <f>SUM(F90:F92)</f>
        <v>180000</v>
      </c>
      <c r="G93" s="178"/>
      <c r="H93" s="178"/>
      <c r="I93" s="178"/>
      <c r="J93" s="178"/>
      <c r="K93" s="178"/>
      <c r="L93" s="178"/>
      <c r="M93" s="198"/>
      <c r="N93" s="180"/>
      <c r="O93" s="178"/>
      <c r="P93" s="178"/>
      <c r="Q93" s="178"/>
      <c r="R93" s="178"/>
      <c r="S93" s="178"/>
      <c r="T93" s="178"/>
      <c r="U93" s="178"/>
      <c r="V93" s="178"/>
      <c r="W93" s="178"/>
      <c r="X93" s="178"/>
      <c r="Y93" s="178"/>
      <c r="Z93" s="178"/>
    </row>
    <row r="94" spans="2:26">
      <c r="B94" s="178"/>
      <c r="C94" s="178"/>
      <c r="D94" s="178"/>
      <c r="E94" s="178"/>
      <c r="F94" s="178"/>
      <c r="G94" s="178"/>
      <c r="H94" s="178"/>
      <c r="I94" s="178"/>
      <c r="J94" s="178"/>
      <c r="K94" s="178"/>
      <c r="L94" s="178"/>
      <c r="M94" s="198"/>
      <c r="N94" s="180"/>
      <c r="O94" s="178"/>
      <c r="P94" s="178"/>
      <c r="Q94" s="178"/>
      <c r="R94" s="178"/>
      <c r="S94" s="178"/>
      <c r="T94" s="178"/>
      <c r="U94" s="178"/>
      <c r="V94" s="178"/>
      <c r="W94" s="178"/>
      <c r="X94" s="178"/>
      <c r="Y94" s="178"/>
      <c r="Z94" s="178"/>
    </row>
    <row r="95" spans="2:26">
      <c r="M95" s="9"/>
    </row>
    <row r="96" spans="2:26" ht="15.75">
      <c r="B96" s="174" t="s">
        <v>49</v>
      </c>
      <c r="C96" s="200">
        <f>SUM(C16,C27,C41,C56,C64,C73,C80,C86,C93)</f>
        <v>1026000</v>
      </c>
      <c r="D96" s="200">
        <f>SUM(D16,D27,D41,D56,D64,D73,D80,D86,D93)</f>
        <v>474000</v>
      </c>
      <c r="E96" s="200">
        <f>SUM(E16,E27,E41,E56,E64,E73,E80,E86,E93)</f>
        <v>1500000</v>
      </c>
      <c r="F96" s="200">
        <f>SUM(F16,F27,F41,F56,F64,F73,F80,F86,F93)</f>
        <v>391000</v>
      </c>
      <c r="G96" s="59"/>
      <c r="H96" s="59"/>
      <c r="I96" s="59"/>
      <c r="J96" s="59"/>
      <c r="K96" s="59"/>
      <c r="L96" s="59"/>
      <c r="M96" s="201"/>
      <c r="N96" s="175"/>
      <c r="O96" s="59"/>
      <c r="P96" s="59"/>
      <c r="Q96" s="59"/>
      <c r="R96" s="59"/>
      <c r="S96" s="59"/>
      <c r="T96" s="59"/>
      <c r="U96" s="59"/>
      <c r="V96" s="59"/>
      <c r="W96" s="59"/>
      <c r="X96" s="59"/>
      <c r="Y96" s="59"/>
      <c r="Z96" s="59"/>
    </row>
    <row r="98" spans="4:7" customFormat="1">
      <c r="F98" s="4">
        <f>SUM(F16,F27,F41,F56,F64,)</f>
        <v>142000</v>
      </c>
      <c r="G98" t="s">
        <v>181</v>
      </c>
    </row>
    <row r="99" spans="4:7" customFormat="1">
      <c r="F99" s="4">
        <f>SUM(F73,F80,F86,F93)</f>
        <v>249000</v>
      </c>
      <c r="G99" t="s">
        <v>182</v>
      </c>
    </row>
    <row r="101" spans="4:7" customFormat="1">
      <c r="D101" s="97">
        <f>D96/240000</f>
        <v>1.9750000000000001</v>
      </c>
      <c r="F101" s="97">
        <f>F96/'[1]NPCC In Kind'!E4</f>
        <v>2.4437500000000001</v>
      </c>
    </row>
    <row r="102" spans="4:7" customFormat="1">
      <c r="D102" s="97" t="s">
        <v>56</v>
      </c>
      <c r="F102" s="97" t="s">
        <v>56</v>
      </c>
    </row>
    <row r="104" spans="4:7" customFormat="1">
      <c r="D104">
        <f>2.5*240000</f>
        <v>600000</v>
      </c>
    </row>
    <row r="105" spans="4:7" customFormat="1">
      <c r="D105" s="4">
        <f>D104-D96</f>
        <v>126000</v>
      </c>
    </row>
  </sheetData>
  <mergeCells count="1">
    <mergeCell ref="H7:K7"/>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sheetPr codeName="Sheet8"/>
  <dimension ref="B1:Z102"/>
  <sheetViews>
    <sheetView zoomScale="105" zoomScaleNormal="105" zoomScalePageLayoutView="78" workbookViewId="0">
      <selection activeCell="B25" sqref="B25"/>
    </sheetView>
  </sheetViews>
  <sheetFormatPr defaultColWidth="8.85546875" defaultRowHeight="15"/>
  <cols>
    <col min="2" max="2" width="72.42578125" customWidth="1"/>
    <col min="3" max="4" width="14.42578125" customWidth="1"/>
    <col min="5" max="6" width="11.28515625" customWidth="1"/>
    <col min="7" max="7" width="6.7109375" customWidth="1"/>
    <col min="8" max="8" width="7" customWidth="1"/>
    <col min="9" max="9" width="10.42578125" customWidth="1"/>
    <col min="10" max="10" width="11" bestFit="1" customWidth="1"/>
    <col min="11" max="11" width="10" bestFit="1" customWidth="1"/>
    <col min="12" max="12" width="10" customWidth="1"/>
    <col min="13" max="13" width="81.140625" customWidth="1"/>
    <col min="14" max="14" width="8.85546875" style="52"/>
  </cols>
  <sheetData>
    <row r="1" spans="2:23" ht="23.25">
      <c r="B1" s="80" t="s">
        <v>211</v>
      </c>
    </row>
    <row r="2" spans="2:23">
      <c r="B2" s="47" t="s">
        <v>270</v>
      </c>
    </row>
    <row r="3" spans="2:23">
      <c r="B3" s="50"/>
    </row>
    <row r="4" spans="2:23">
      <c r="B4" t="s">
        <v>168</v>
      </c>
    </row>
    <row r="5" spans="2:23">
      <c r="B5" t="s">
        <v>169</v>
      </c>
    </row>
    <row r="7" spans="2:23" ht="27" customHeight="1">
      <c r="G7" s="81"/>
      <c r="H7" s="268" t="s">
        <v>167</v>
      </c>
      <c r="I7" s="269"/>
      <c r="J7" s="269"/>
      <c r="K7" s="270"/>
      <c r="L7" s="121">
        <v>120000</v>
      </c>
    </row>
    <row r="8" spans="2:23" s="2" customFormat="1" ht="61.5" customHeight="1">
      <c r="C8" s="98" t="s">
        <v>85</v>
      </c>
      <c r="D8" s="98" t="s">
        <v>74</v>
      </c>
      <c r="E8" s="98" t="s">
        <v>112</v>
      </c>
      <c r="F8" s="98" t="s">
        <v>256</v>
      </c>
      <c r="H8" s="94" t="s">
        <v>115</v>
      </c>
      <c r="I8" s="94" t="s">
        <v>116</v>
      </c>
      <c r="J8" s="94" t="s">
        <v>47</v>
      </c>
      <c r="K8" s="94" t="s">
        <v>48</v>
      </c>
      <c r="L8" s="122" t="s">
        <v>255</v>
      </c>
      <c r="M8" s="5" t="s">
        <v>24</v>
      </c>
      <c r="N8" s="48"/>
    </row>
    <row r="9" spans="2:23" s="2" customFormat="1" ht="15.75" customHeight="1">
      <c r="B9" s="144" t="str">
        <f>'Category (2012)'!B6</f>
        <v>Existing Measure Review &amp; Updates</v>
      </c>
      <c r="C9" s="145"/>
      <c r="D9" s="145"/>
      <c r="E9" s="145"/>
      <c r="F9" s="145"/>
      <c r="G9" s="146"/>
      <c r="H9" s="146"/>
      <c r="I9" s="147"/>
      <c r="J9" s="146"/>
      <c r="K9" s="146"/>
      <c r="L9" s="146"/>
      <c r="M9" s="146"/>
      <c r="N9" s="148"/>
      <c r="O9" s="146"/>
      <c r="P9" s="146"/>
      <c r="Q9" s="146"/>
      <c r="R9" s="146"/>
      <c r="S9" s="146"/>
      <c r="T9" s="146"/>
      <c r="U9" s="146"/>
      <c r="V9" s="146"/>
      <c r="W9" s="146"/>
    </row>
    <row r="10" spans="2:23" s="2" customFormat="1" ht="15.75" customHeight="1">
      <c r="B10" s="149" t="s">
        <v>128</v>
      </c>
      <c r="C10" s="150">
        <f>H10*I10</f>
        <v>60000</v>
      </c>
      <c r="D10" s="150">
        <f>H10*J10</f>
        <v>10000</v>
      </c>
      <c r="E10" s="150">
        <f>SUM(C10:D10)</f>
        <v>70000</v>
      </c>
      <c r="F10" s="150">
        <f>H10*K10</f>
        <v>10000</v>
      </c>
      <c r="G10" s="146"/>
      <c r="H10" s="146">
        <v>10</v>
      </c>
      <c r="I10" s="147">
        <v>6000</v>
      </c>
      <c r="J10" s="151">
        <v>1000</v>
      </c>
      <c r="K10" s="151">
        <v>1000</v>
      </c>
      <c r="L10" s="152">
        <f>$L$7/SUM(I10:K10)</f>
        <v>15</v>
      </c>
      <c r="M10" s="153" t="str">
        <f>CONCATENATE("Library of approx 30 Active UES on average 3-year review cycle or n=",H10," per year @ $",I10/1000,"K each")</f>
        <v>Library of approx 30 Active UES on average 3-year review cycle or n=10 per year @ $6K each</v>
      </c>
      <c r="N10" s="148"/>
      <c r="O10" s="146"/>
      <c r="P10" s="146"/>
      <c r="Q10" s="146"/>
      <c r="R10" s="146"/>
      <c r="S10" s="146"/>
      <c r="T10" s="146"/>
      <c r="U10" s="146"/>
      <c r="V10" s="146"/>
      <c r="W10" s="146"/>
    </row>
    <row r="11" spans="2:23" s="2" customFormat="1" ht="15.75" customHeight="1">
      <c r="B11" s="154" t="s">
        <v>25</v>
      </c>
      <c r="C11" s="150">
        <f t="shared" ref="C11:C13" si="0">H11*I11</f>
        <v>40000</v>
      </c>
      <c r="D11" s="150">
        <f t="shared" ref="D11:D13" si="1">H11*J11</f>
        <v>20000</v>
      </c>
      <c r="E11" s="150">
        <f>SUM(C11:D11)</f>
        <v>60000</v>
      </c>
      <c r="F11" s="150">
        <f t="shared" ref="F11:F13" si="2">H11*K11</f>
        <v>20000</v>
      </c>
      <c r="G11" s="146"/>
      <c r="H11" s="146">
        <v>10</v>
      </c>
      <c r="I11" s="147">
        <v>4000</v>
      </c>
      <c r="J11" s="151">
        <v>2000</v>
      </c>
      <c r="K11" s="151">
        <v>2000</v>
      </c>
      <c r="L11" s="152">
        <f t="shared" ref="L11:L13" si="3">$L$7/SUM(I11:K11)</f>
        <v>15</v>
      </c>
      <c r="M11" s="153" t="str">
        <f>CONCATENATE("Library of approx 30 Prov UES on average 3-year review cycle or n=",H11," per year @ $",I11/1000,"K each")</f>
        <v>Library of approx 30 Prov UES on average 3-year review cycle or n=10 per year @ $4K each</v>
      </c>
      <c r="N11" s="155"/>
      <c r="O11" s="146"/>
      <c r="P11" s="146"/>
      <c r="Q11" s="146"/>
      <c r="R11" s="146"/>
      <c r="S11" s="146"/>
      <c r="T11" s="146"/>
      <c r="U11" s="146"/>
      <c r="V11" s="146"/>
      <c r="W11" s="146"/>
    </row>
    <row r="12" spans="2:23" s="2" customFormat="1" ht="15.75" customHeight="1">
      <c r="B12" s="156" t="s">
        <v>26</v>
      </c>
      <c r="C12" s="157">
        <f t="shared" si="0"/>
        <v>0</v>
      </c>
      <c r="D12" s="157">
        <f t="shared" si="1"/>
        <v>0</v>
      </c>
      <c r="E12" s="157">
        <f>SUM(C12:D12)</f>
        <v>0</v>
      </c>
      <c r="F12" s="157">
        <f t="shared" si="2"/>
        <v>0</v>
      </c>
      <c r="G12" s="158"/>
      <c r="H12" s="158">
        <v>0</v>
      </c>
      <c r="I12" s="159">
        <v>15000</v>
      </c>
      <c r="J12" s="159">
        <v>3000</v>
      </c>
      <c r="K12" s="159">
        <v>3000</v>
      </c>
      <c r="L12" s="152">
        <f t="shared" si="3"/>
        <v>5.7142857142857144</v>
      </c>
      <c r="M12" s="153" t="str">
        <f>CONCATENATE("Eventual library of 6 Protocols on 3-year review cycle for n=",H12," per year @ $",I12/1000,"K each.  For 2012 no existing reviews.")</f>
        <v>Eventual library of 6 Protocols on 3-year review cycle for n=0 per year @ $15K each.  For 2012 no existing reviews.</v>
      </c>
      <c r="N12" s="155"/>
      <c r="O12" s="146"/>
      <c r="P12" s="146"/>
      <c r="Q12" s="146"/>
      <c r="R12" s="146"/>
      <c r="S12" s="146"/>
      <c r="T12" s="146"/>
      <c r="U12" s="146"/>
      <c r="V12" s="146"/>
      <c r="W12" s="146"/>
    </row>
    <row r="13" spans="2:23" s="49" customFormat="1" ht="15.75" customHeight="1">
      <c r="B13" s="149" t="s">
        <v>22</v>
      </c>
      <c r="C13" s="160">
        <f t="shared" si="0"/>
        <v>75000</v>
      </c>
      <c r="D13" s="160">
        <f t="shared" si="1"/>
        <v>20000</v>
      </c>
      <c r="E13" s="160">
        <f>SUM(C13:D13)</f>
        <v>95000</v>
      </c>
      <c r="F13" s="160">
        <f t="shared" si="2"/>
        <v>10000</v>
      </c>
      <c r="G13" s="146"/>
      <c r="H13" s="146">
        <v>5</v>
      </c>
      <c r="I13" s="147">
        <v>15000</v>
      </c>
      <c r="J13" s="147">
        <v>4000</v>
      </c>
      <c r="K13" s="147">
        <v>2000</v>
      </c>
      <c r="L13" s="152">
        <f t="shared" si="3"/>
        <v>5.7142857142857144</v>
      </c>
      <c r="M13" s="161" t="s">
        <v>129</v>
      </c>
      <c r="N13" s="148"/>
      <c r="O13" s="162"/>
      <c r="P13" s="162"/>
      <c r="Q13" s="162"/>
      <c r="R13" s="162"/>
      <c r="S13" s="162"/>
      <c r="T13" s="162"/>
      <c r="U13" s="162"/>
      <c r="V13" s="162"/>
      <c r="W13" s="162"/>
    </row>
    <row r="14" spans="2:23" s="2" customFormat="1" ht="15.75" customHeight="1">
      <c r="B14" s="144" t="str">
        <f>CONCATENATE("Subtotal ",B9)</f>
        <v>Subtotal Existing Measure Review &amp; Updates</v>
      </c>
      <c r="C14" s="163">
        <f>SUM(C10:C13)</f>
        <v>175000</v>
      </c>
      <c r="D14" s="163">
        <f>SUM(D10:D13)</f>
        <v>50000</v>
      </c>
      <c r="E14" s="163">
        <f>SUM(E10:E13)</f>
        <v>225000</v>
      </c>
      <c r="F14" s="163">
        <f>SUM(F10:F13)</f>
        <v>40000</v>
      </c>
      <c r="G14" s="146"/>
      <c r="H14" s="146"/>
      <c r="I14" s="151"/>
      <c r="J14" s="151"/>
      <c r="K14" s="151"/>
      <c r="L14" s="151"/>
      <c r="M14" s="164"/>
      <c r="N14" s="148"/>
      <c r="O14" s="146"/>
      <c r="P14" s="146"/>
      <c r="Q14" s="146"/>
      <c r="R14" s="146"/>
      <c r="S14" s="146"/>
      <c r="T14" s="146"/>
      <c r="U14" s="146"/>
      <c r="V14" s="146"/>
      <c r="W14" s="146"/>
    </row>
    <row r="15" spans="2:23" s="2" customFormat="1" ht="15.75" customHeight="1">
      <c r="B15" s="146"/>
      <c r="C15" s="150"/>
      <c r="D15" s="150"/>
      <c r="E15" s="150"/>
      <c r="F15" s="145"/>
      <c r="G15" s="146"/>
      <c r="H15" s="146"/>
      <c r="I15" s="146"/>
      <c r="J15" s="151"/>
      <c r="K15" s="151"/>
      <c r="L15" s="151"/>
      <c r="M15" s="164"/>
      <c r="N15" s="148"/>
      <c r="O15" s="146"/>
      <c r="P15" s="146"/>
      <c r="Q15" s="146"/>
      <c r="R15" s="146"/>
      <c r="S15" s="146"/>
      <c r="T15" s="146"/>
      <c r="U15" s="146"/>
      <c r="V15" s="146"/>
      <c r="W15" s="146"/>
    </row>
    <row r="16" spans="2:23" s="2" customFormat="1" ht="15.75" customHeight="1">
      <c r="B16" s="146"/>
      <c r="C16" s="150"/>
      <c r="D16" s="150"/>
      <c r="E16" s="150"/>
      <c r="F16" s="145"/>
      <c r="G16" s="146"/>
      <c r="H16" s="146"/>
      <c r="I16" s="146"/>
      <c r="J16" s="151"/>
      <c r="K16" s="151"/>
      <c r="L16" s="151"/>
      <c r="M16" s="164"/>
      <c r="N16" s="148"/>
      <c r="O16" s="146"/>
      <c r="P16" s="146"/>
      <c r="Q16" s="146"/>
      <c r="R16" s="146"/>
      <c r="S16" s="146"/>
      <c r="T16" s="146"/>
      <c r="U16" s="146"/>
      <c r="V16" s="146"/>
      <c r="W16" s="146"/>
    </row>
    <row r="17" spans="2:23" s="2" customFormat="1" ht="15.75" customHeight="1">
      <c r="B17" s="144" t="str">
        <f>'Category (2012)'!B7</f>
        <v>New Measure Development &amp; Review of Unsolicited Proposals</v>
      </c>
      <c r="C17" s="150"/>
      <c r="D17" s="150"/>
      <c r="E17" s="150"/>
      <c r="F17" s="145"/>
      <c r="G17" s="146"/>
      <c r="H17" s="146"/>
      <c r="I17" s="151"/>
      <c r="J17" s="151"/>
      <c r="K17" s="151"/>
      <c r="L17" s="151"/>
      <c r="M17" s="164"/>
      <c r="N17" s="148"/>
      <c r="O17" s="146"/>
      <c r="P17" s="146"/>
      <c r="Q17" s="146"/>
      <c r="R17" s="146"/>
      <c r="S17" s="146"/>
      <c r="T17" s="146"/>
      <c r="U17" s="146"/>
      <c r="V17" s="146"/>
      <c r="W17" s="146"/>
    </row>
    <row r="18" spans="2:23" s="2" customFormat="1" ht="15.75" customHeight="1">
      <c r="B18" s="154" t="s">
        <v>160</v>
      </c>
      <c r="C18" s="150">
        <f>H18*I18</f>
        <v>48000</v>
      </c>
      <c r="D18" s="150">
        <f>H18*J18</f>
        <v>24000</v>
      </c>
      <c r="E18" s="150">
        <f>SUM(C18:D18)</f>
        <v>72000</v>
      </c>
      <c r="F18" s="150">
        <f>H18*K18</f>
        <v>8000</v>
      </c>
      <c r="G18" s="146"/>
      <c r="H18" s="146">
        <v>4</v>
      </c>
      <c r="I18" s="151">
        <v>12000</v>
      </c>
      <c r="J18" s="151">
        <v>6000</v>
      </c>
      <c r="K18" s="151">
        <v>2000</v>
      </c>
      <c r="L18" s="152">
        <f t="shared" ref="L18:L24" si="4">$L$7/SUM(I18:K18)</f>
        <v>6</v>
      </c>
      <c r="M18" s="153" t="str">
        <f>CONCATENATE("Review New UES (n=",H18," per year @ $",I18/1000,"K each).  Assumes proposers do most development work.  Proposals come to RTF well-crafted.")</f>
        <v>Review New UES (n=4 per year @ $12K each).  Assumes proposers do most development work.  Proposals come to RTF well-crafted.</v>
      </c>
      <c r="N18" s="165"/>
      <c r="O18" s="146"/>
      <c r="P18" s="146"/>
      <c r="Q18" s="146"/>
      <c r="R18" s="146"/>
      <c r="S18" s="146"/>
      <c r="T18" s="146"/>
      <c r="U18" s="146"/>
      <c r="V18" s="146"/>
      <c r="W18" s="146"/>
    </row>
    <row r="19" spans="2:23" s="2" customFormat="1" ht="15.75" customHeight="1">
      <c r="B19" s="154" t="s">
        <v>159</v>
      </c>
      <c r="C19" s="150">
        <f t="shared" ref="C19:C20" si="5">H19*I19</f>
        <v>60000</v>
      </c>
      <c r="D19" s="150">
        <f t="shared" ref="D19:D20" si="6">H19*J19</f>
        <v>24000</v>
      </c>
      <c r="E19" s="150">
        <f t="shared" ref="E19:E20" si="7">SUM(C19:D19)</f>
        <v>84000</v>
      </c>
      <c r="F19" s="150">
        <f t="shared" ref="F19:F20" si="8">H19*K19</f>
        <v>8000</v>
      </c>
      <c r="G19" s="146"/>
      <c r="H19" s="146">
        <v>4</v>
      </c>
      <c r="I19" s="151">
        <v>15000</v>
      </c>
      <c r="J19" s="151">
        <v>6000</v>
      </c>
      <c r="K19" s="151">
        <v>2000</v>
      </c>
      <c r="L19" s="152">
        <f t="shared" si="4"/>
        <v>5.2173913043478262</v>
      </c>
      <c r="M19" s="153" t="str">
        <f>CONCATENATE("Review New Standard Protocols with Calculators (",H19," per year @ $",I19/1000,"K each).  Assumes proposers do most development work.  Proposals come to RTF well-crafted.")</f>
        <v>Review New Standard Protocols with Calculators (4 per year @ $15K each).  Assumes proposers do most development work.  Proposals come to RTF well-crafted.</v>
      </c>
      <c r="N19" s="166"/>
      <c r="O19" s="146"/>
      <c r="P19" s="146"/>
      <c r="Q19" s="146"/>
      <c r="R19" s="146"/>
      <c r="S19" s="146"/>
      <c r="T19" s="146"/>
      <c r="U19" s="146"/>
      <c r="V19" s="146"/>
      <c r="W19" s="146"/>
    </row>
    <row r="20" spans="2:23" s="2" customFormat="1" ht="15.75" customHeight="1">
      <c r="B20" s="154" t="s">
        <v>29</v>
      </c>
      <c r="C20" s="150">
        <f t="shared" si="5"/>
        <v>36000</v>
      </c>
      <c r="D20" s="150">
        <f t="shared" si="6"/>
        <v>36000</v>
      </c>
      <c r="E20" s="150">
        <f t="shared" si="7"/>
        <v>72000</v>
      </c>
      <c r="F20" s="150">
        <f t="shared" si="8"/>
        <v>6000</v>
      </c>
      <c r="G20" s="146"/>
      <c r="H20" s="146">
        <v>3</v>
      </c>
      <c r="I20" s="151">
        <v>12000</v>
      </c>
      <c r="J20" s="151">
        <v>12000</v>
      </c>
      <c r="K20" s="151">
        <v>2000</v>
      </c>
      <c r="L20" s="152">
        <f t="shared" si="4"/>
        <v>4.615384615384615</v>
      </c>
      <c r="M20" s="153" t="str">
        <f>CONCATENATE("Develop Small &amp; Rural Measures (",H20," @ $",I20/1000,"K each).  Includes analysis to better understand needs around packaging irrigation measures, or training or specification simplification.")</f>
        <v>Develop Small &amp; Rural Measures (3 @ $12K each).  Includes analysis to better understand needs around packaging irrigation measures, or training or specification simplification.</v>
      </c>
      <c r="N20" s="166"/>
      <c r="O20" s="146"/>
      <c r="P20" s="146"/>
      <c r="Q20" s="146"/>
      <c r="R20" s="146"/>
      <c r="S20" s="146"/>
      <c r="T20" s="146"/>
      <c r="U20" s="146"/>
      <c r="V20" s="146"/>
      <c r="W20" s="146"/>
    </row>
    <row r="21" spans="2:23" s="2" customFormat="1" ht="15.75" customHeight="1">
      <c r="B21" s="154" t="s">
        <v>238</v>
      </c>
      <c r="C21" s="150">
        <f>H21*I21</f>
        <v>48000</v>
      </c>
      <c r="D21" s="150">
        <f>H21*J21</f>
        <v>48000</v>
      </c>
      <c r="E21" s="150">
        <f>SUM(C21:D21)</f>
        <v>96000</v>
      </c>
      <c r="F21" s="150">
        <f>H21*K21</f>
        <v>8000</v>
      </c>
      <c r="G21" s="146"/>
      <c r="H21" s="146">
        <v>4</v>
      </c>
      <c r="I21" s="151">
        <v>12000</v>
      </c>
      <c r="J21" s="151">
        <v>12000</v>
      </c>
      <c r="K21" s="151">
        <v>2000</v>
      </c>
      <c r="L21" s="152">
        <f t="shared" si="4"/>
        <v>4.615384615384615</v>
      </c>
      <c r="M21" s="153" t="str">
        <f>CONCATENATE("Review New UES/Protocol (n=",H21," per year @ $",I21/1000,"K each).  Assumes proposers do most development work.  Proposals come to RTF well-crafted.")</f>
        <v>Review New UES/Protocol (n=4 per year @ $12K each).  Assumes proposers do most development work.  Proposals come to RTF well-crafted.</v>
      </c>
      <c r="N21" s="148"/>
      <c r="O21" s="146"/>
      <c r="P21" s="146"/>
      <c r="Q21" s="146"/>
      <c r="R21" s="146"/>
      <c r="S21" s="146"/>
      <c r="T21" s="146"/>
      <c r="U21" s="146"/>
      <c r="V21" s="146"/>
      <c r="W21" s="146"/>
    </row>
    <row r="22" spans="2:23" s="2" customFormat="1" ht="15.75" customHeight="1">
      <c r="B22" s="154" t="s">
        <v>114</v>
      </c>
      <c r="C22" s="150">
        <f>H22*I22</f>
        <v>15000</v>
      </c>
      <c r="D22" s="150">
        <f>H22*J22</f>
        <v>5000</v>
      </c>
      <c r="E22" s="150">
        <f>SUM(C22:D22)</f>
        <v>20000</v>
      </c>
      <c r="F22" s="150">
        <f>H22*K22</f>
        <v>5000</v>
      </c>
      <c r="G22" s="146"/>
      <c r="H22" s="146">
        <v>5</v>
      </c>
      <c r="I22" s="151">
        <v>3000</v>
      </c>
      <c r="J22" s="151">
        <v>1000</v>
      </c>
      <c r="K22" s="151">
        <v>1000</v>
      </c>
      <c r="L22" s="152">
        <f t="shared" si="4"/>
        <v>24</v>
      </c>
      <c r="M22" s="153" t="s">
        <v>23</v>
      </c>
      <c r="N22" s="148"/>
      <c r="O22" s="146"/>
      <c r="P22" s="146"/>
      <c r="Q22" s="146"/>
      <c r="R22" s="146"/>
      <c r="S22" s="146"/>
      <c r="T22" s="146"/>
      <c r="U22" s="146"/>
      <c r="V22" s="146"/>
      <c r="W22" s="146"/>
    </row>
    <row r="23" spans="2:23" s="2" customFormat="1" ht="15.75" customHeight="1">
      <c r="B23" s="156" t="s">
        <v>164</v>
      </c>
      <c r="C23" s="157">
        <f>H23*I23</f>
        <v>0</v>
      </c>
      <c r="D23" s="157">
        <f>H23*J23</f>
        <v>0</v>
      </c>
      <c r="E23" s="157">
        <f>SUM(C23:D23)</f>
        <v>0</v>
      </c>
      <c r="F23" s="157">
        <f>H23*K23</f>
        <v>0</v>
      </c>
      <c r="G23" s="167"/>
      <c r="H23" s="168">
        <v>0</v>
      </c>
      <c r="I23" s="169">
        <v>40000</v>
      </c>
      <c r="J23" s="169">
        <v>6000</v>
      </c>
      <c r="K23" s="169">
        <v>3000</v>
      </c>
      <c r="L23" s="152">
        <f t="shared" si="4"/>
        <v>2.4489795918367347</v>
      </c>
      <c r="M23" s="153" t="str">
        <f>CONCATENATE("Develop New UES (n=",H23," per year @ $",I23/1000,"K each).  Assumes RTF contract for most development work.")</f>
        <v>Develop New UES (n=0 per year @ $40K each).  Assumes RTF contract for most development work.</v>
      </c>
      <c r="N23" s="167"/>
      <c r="O23" s="167"/>
      <c r="P23" s="167"/>
      <c r="Q23" s="167"/>
      <c r="R23" s="167"/>
      <c r="S23" s="167"/>
      <c r="T23" s="167"/>
      <c r="U23" s="146"/>
      <c r="V23" s="146"/>
      <c r="W23" s="146"/>
    </row>
    <row r="24" spans="2:23" s="2" customFormat="1" ht="15.75" customHeight="1">
      <c r="B24" s="156" t="s">
        <v>165</v>
      </c>
      <c r="C24" s="157">
        <f>H24*I24</f>
        <v>0</v>
      </c>
      <c r="D24" s="157">
        <f>H24*J24</f>
        <v>0</v>
      </c>
      <c r="E24" s="157">
        <f>SUM(C24:D24)</f>
        <v>0</v>
      </c>
      <c r="F24" s="157">
        <f>H24*K24</f>
        <v>0</v>
      </c>
      <c r="G24" s="167"/>
      <c r="H24" s="168">
        <v>0</v>
      </c>
      <c r="I24" s="169">
        <v>45000</v>
      </c>
      <c r="J24" s="169">
        <v>6000</v>
      </c>
      <c r="K24" s="169">
        <v>3000</v>
      </c>
      <c r="L24" s="152">
        <f t="shared" si="4"/>
        <v>2.2222222222222223</v>
      </c>
      <c r="M24" s="153" t="str">
        <f>CONCATENATE("Develop New Standarad Protocol (n=",H24," per year @ $",I24/1000,"K each).  Assumes RTF contract for most development work.")</f>
        <v>Develop New Standarad Protocol (n=0 per year @ $45K each).  Assumes RTF contract for most development work.</v>
      </c>
      <c r="N24" s="167"/>
      <c r="O24" s="167"/>
      <c r="P24" s="167"/>
      <c r="Q24" s="167"/>
      <c r="R24" s="167"/>
      <c r="S24" s="167"/>
      <c r="T24" s="167"/>
      <c r="U24" s="146"/>
      <c r="V24" s="146"/>
      <c r="W24" s="146"/>
    </row>
    <row r="25" spans="2:23" s="2" customFormat="1" ht="15.75" customHeight="1">
      <c r="B25" s="144" t="str">
        <f>CONCATENATE("Subtotal ",B17)</f>
        <v>Subtotal New Measure Development &amp; Review of Unsolicited Proposals</v>
      </c>
      <c r="C25" s="163">
        <f>SUM(C18:C22)</f>
        <v>207000</v>
      </c>
      <c r="D25" s="163">
        <f t="shared" ref="D25:F25" si="9">SUM(D18:D22)</f>
        <v>137000</v>
      </c>
      <c r="E25" s="163">
        <f t="shared" si="9"/>
        <v>344000</v>
      </c>
      <c r="F25" s="163">
        <f t="shared" si="9"/>
        <v>35000</v>
      </c>
      <c r="G25" s="146"/>
      <c r="H25" s="146"/>
      <c r="I25" s="146"/>
      <c r="J25" s="146"/>
      <c r="K25" s="146"/>
      <c r="L25" s="146"/>
      <c r="M25" s="153"/>
      <c r="N25" s="148"/>
      <c r="O25" s="146"/>
      <c r="P25" s="146"/>
      <c r="Q25" s="146"/>
      <c r="R25" s="146"/>
      <c r="S25" s="146"/>
      <c r="T25" s="146"/>
      <c r="U25" s="146"/>
      <c r="V25" s="146"/>
      <c r="W25" s="146"/>
    </row>
    <row r="26" spans="2:23" s="2" customFormat="1" ht="15.75" customHeight="1">
      <c r="B26" s="154"/>
      <c r="C26" s="150"/>
      <c r="D26" s="150"/>
      <c r="E26" s="150"/>
      <c r="F26" s="145"/>
      <c r="G26" s="146"/>
      <c r="H26" s="146"/>
      <c r="I26" s="146"/>
      <c r="J26" s="146"/>
      <c r="K26" s="146"/>
      <c r="L26" s="146"/>
      <c r="M26" s="153"/>
      <c r="N26" s="148"/>
      <c r="O26" s="146"/>
      <c r="P26" s="146"/>
      <c r="Q26" s="146"/>
      <c r="R26" s="146"/>
      <c r="S26" s="146"/>
      <c r="T26" s="146"/>
      <c r="U26" s="146"/>
      <c r="V26" s="146"/>
      <c r="W26" s="146"/>
    </row>
    <row r="27" spans="2:23" s="2" customFormat="1" ht="15.75" customHeight="1">
      <c r="B27" s="146"/>
      <c r="C27" s="150"/>
      <c r="D27" s="150"/>
      <c r="E27" s="150"/>
      <c r="F27" s="145"/>
      <c r="G27" s="146"/>
      <c r="H27" s="146"/>
      <c r="I27" s="146"/>
      <c r="J27" s="170"/>
      <c r="K27" s="170"/>
      <c r="L27" s="170"/>
      <c r="M27" s="153"/>
      <c r="N27" s="148"/>
      <c r="O27" s="146"/>
      <c r="P27" s="146"/>
      <c r="Q27" s="146"/>
      <c r="R27" s="146"/>
      <c r="S27" s="146"/>
      <c r="T27" s="146"/>
      <c r="U27" s="146"/>
      <c r="V27" s="146"/>
      <c r="W27" s="146"/>
    </row>
    <row r="28" spans="2:23" ht="15.75">
      <c r="B28" s="144" t="str">
        <f>'Category (2012)'!B8</f>
        <v>Standardization of Technical Analysis</v>
      </c>
      <c r="C28" s="170"/>
      <c r="D28" s="170"/>
      <c r="E28" s="170"/>
      <c r="F28" s="170"/>
      <c r="G28" s="170"/>
      <c r="H28" s="170"/>
      <c r="I28" s="170"/>
      <c r="J28" s="170"/>
      <c r="K28" s="170"/>
      <c r="L28" s="170"/>
      <c r="M28" s="153"/>
      <c r="N28" s="166"/>
      <c r="O28" s="170"/>
      <c r="P28" s="170"/>
      <c r="Q28" s="170"/>
      <c r="R28" s="170"/>
      <c r="S28" s="170"/>
      <c r="T28" s="170"/>
      <c r="U28" s="170"/>
      <c r="V28" s="170"/>
      <c r="W28" s="170"/>
    </row>
    <row r="29" spans="2:23" ht="15.75">
      <c r="B29" s="154" t="s">
        <v>27</v>
      </c>
      <c r="C29" s="150">
        <v>0</v>
      </c>
      <c r="D29" s="160">
        <v>7000</v>
      </c>
      <c r="E29" s="160">
        <f t="shared" ref="E29:E34" si="10">SUM(C29:D29)</f>
        <v>7000</v>
      </c>
      <c r="F29" s="171">
        <v>7000</v>
      </c>
      <c r="G29" s="170"/>
      <c r="H29" s="170"/>
      <c r="I29" s="166"/>
      <c r="J29" s="170"/>
      <c r="K29" s="170"/>
      <c r="L29" s="170"/>
      <c r="M29" s="170"/>
      <c r="N29" s="166"/>
      <c r="O29" s="170"/>
      <c r="P29" s="170"/>
      <c r="Q29" s="170"/>
      <c r="R29" s="170"/>
      <c r="S29" s="170"/>
      <c r="T29" s="170"/>
      <c r="U29" s="170"/>
      <c r="V29" s="170"/>
      <c r="W29" s="170"/>
    </row>
    <row r="30" spans="2:23" ht="15.75">
      <c r="B30" s="154" t="s">
        <v>28</v>
      </c>
      <c r="C30" s="150">
        <v>0</v>
      </c>
      <c r="D30" s="150">
        <v>5000</v>
      </c>
      <c r="E30" s="150">
        <f t="shared" si="10"/>
        <v>5000</v>
      </c>
      <c r="F30" s="172">
        <v>5000</v>
      </c>
      <c r="G30" s="170"/>
      <c r="H30" s="170"/>
      <c r="I30" s="166"/>
      <c r="J30" s="170"/>
      <c r="K30" s="170"/>
      <c r="L30" s="170"/>
      <c r="M30" s="170"/>
      <c r="N30" s="166"/>
      <c r="O30" s="170"/>
      <c r="P30" s="170"/>
      <c r="Q30" s="170"/>
      <c r="R30" s="170"/>
      <c r="S30" s="170"/>
      <c r="T30" s="170"/>
      <c r="U30" s="170"/>
      <c r="V30" s="170"/>
      <c r="W30" s="170"/>
    </row>
    <row r="31" spans="2:23" ht="15.75">
      <c r="B31" s="154" t="s">
        <v>80</v>
      </c>
      <c r="C31" s="150">
        <v>20000</v>
      </c>
      <c r="D31" s="150">
        <v>5000</v>
      </c>
      <c r="E31" s="150">
        <f t="shared" si="10"/>
        <v>25000</v>
      </c>
      <c r="F31" s="172">
        <f t="shared" ref="F31:F34" si="11">1/2*D31</f>
        <v>2500</v>
      </c>
      <c r="G31" s="170"/>
      <c r="H31" s="170"/>
      <c r="I31" s="166"/>
      <c r="J31" s="170"/>
      <c r="K31" s="170"/>
      <c r="L31" s="170"/>
      <c r="M31" s="153"/>
      <c r="N31" s="166"/>
      <c r="O31" s="170"/>
      <c r="P31" s="170"/>
      <c r="Q31" s="170"/>
      <c r="R31" s="170"/>
      <c r="S31" s="170"/>
      <c r="T31" s="170"/>
      <c r="U31" s="170"/>
      <c r="V31" s="170"/>
      <c r="W31" s="170"/>
    </row>
    <row r="32" spans="2:23" ht="15.75">
      <c r="B32" s="154" t="s">
        <v>82</v>
      </c>
      <c r="C32" s="150">
        <v>70000</v>
      </c>
      <c r="D32" s="150">
        <v>10000</v>
      </c>
      <c r="E32" s="150">
        <f t="shared" si="10"/>
        <v>80000</v>
      </c>
      <c r="F32" s="172">
        <f t="shared" si="11"/>
        <v>5000</v>
      </c>
      <c r="G32" s="170"/>
      <c r="H32" s="170"/>
      <c r="I32" s="166"/>
      <c r="J32" s="170"/>
      <c r="K32" s="170"/>
      <c r="L32" s="170"/>
      <c r="M32" s="153" t="s">
        <v>161</v>
      </c>
      <c r="N32" s="166"/>
      <c r="O32" s="170"/>
      <c r="P32" s="170"/>
      <c r="Q32" s="170"/>
      <c r="R32" s="170"/>
      <c r="S32" s="170"/>
      <c r="T32" s="170"/>
      <c r="U32" s="170"/>
      <c r="V32" s="170"/>
      <c r="W32" s="170"/>
    </row>
    <row r="33" spans="2:26" ht="15.75">
      <c r="B33" s="154" t="s">
        <v>81</v>
      </c>
      <c r="C33" s="150">
        <v>40000</v>
      </c>
      <c r="D33" s="150">
        <v>10000</v>
      </c>
      <c r="E33" s="150">
        <f t="shared" si="10"/>
        <v>50000</v>
      </c>
      <c r="F33" s="172">
        <f t="shared" si="11"/>
        <v>5000</v>
      </c>
      <c r="G33" s="170"/>
      <c r="H33" s="170"/>
      <c r="I33" s="170"/>
      <c r="J33" s="170"/>
      <c r="K33" s="170"/>
      <c r="L33" s="170"/>
      <c r="M33" s="153"/>
      <c r="N33" s="166"/>
      <c r="O33" s="170"/>
      <c r="P33" s="170"/>
      <c r="Q33" s="170"/>
      <c r="R33" s="170"/>
      <c r="S33" s="170"/>
      <c r="T33" s="170"/>
      <c r="U33" s="170"/>
      <c r="V33" s="170"/>
      <c r="W33" s="170"/>
    </row>
    <row r="34" spans="2:26" ht="15.75">
      <c r="B34" s="154" t="s">
        <v>31</v>
      </c>
      <c r="C34" s="150">
        <v>10000</v>
      </c>
      <c r="D34" s="150">
        <v>5000</v>
      </c>
      <c r="E34" s="150">
        <f t="shared" si="10"/>
        <v>15000</v>
      </c>
      <c r="F34" s="172">
        <f t="shared" si="11"/>
        <v>2500</v>
      </c>
      <c r="G34" s="170"/>
      <c r="H34" s="170"/>
      <c r="I34" s="170"/>
      <c r="J34" s="170"/>
      <c r="K34" s="170"/>
      <c r="L34" s="170"/>
      <c r="M34" s="153"/>
      <c r="N34" s="166"/>
      <c r="O34" s="170"/>
      <c r="P34" s="170"/>
      <c r="Q34" s="170"/>
      <c r="R34" s="170"/>
      <c r="S34" s="170"/>
      <c r="T34" s="170"/>
      <c r="U34" s="170"/>
      <c r="V34" s="170"/>
      <c r="W34" s="170"/>
    </row>
    <row r="35" spans="2:26" ht="15.75">
      <c r="B35" s="156" t="s">
        <v>78</v>
      </c>
      <c r="C35" s="157">
        <v>0</v>
      </c>
      <c r="D35" s="157">
        <v>0</v>
      </c>
      <c r="E35" s="157">
        <v>0</v>
      </c>
      <c r="F35" s="173">
        <v>0</v>
      </c>
      <c r="G35" s="170"/>
      <c r="H35" s="170"/>
      <c r="I35" s="166"/>
      <c r="J35" s="170"/>
      <c r="K35" s="170"/>
      <c r="L35" s="170"/>
      <c r="M35" s="153" t="s">
        <v>162</v>
      </c>
      <c r="N35" s="166"/>
      <c r="O35" s="170"/>
      <c r="P35" s="170"/>
      <c r="Q35" s="170"/>
      <c r="R35" s="170"/>
      <c r="S35" s="170"/>
      <c r="T35" s="170"/>
      <c r="U35" s="170"/>
      <c r="V35" s="170"/>
      <c r="W35" s="170"/>
    </row>
    <row r="36" spans="2:26" ht="15.75">
      <c r="B36" s="156" t="s">
        <v>79</v>
      </c>
      <c r="C36" s="157">
        <v>0</v>
      </c>
      <c r="D36" s="157">
        <v>0</v>
      </c>
      <c r="E36" s="157">
        <v>0</v>
      </c>
      <c r="F36" s="173">
        <v>0</v>
      </c>
      <c r="G36" s="170"/>
      <c r="H36" s="170"/>
      <c r="I36" s="166"/>
      <c r="J36" s="170"/>
      <c r="K36" s="170"/>
      <c r="L36" s="170"/>
      <c r="M36" s="153" t="s">
        <v>163</v>
      </c>
      <c r="N36" s="166"/>
      <c r="O36" s="170"/>
      <c r="P36" s="170"/>
      <c r="Q36" s="170"/>
      <c r="R36" s="170"/>
      <c r="S36" s="170"/>
      <c r="T36" s="170"/>
      <c r="U36" s="170"/>
      <c r="V36" s="170"/>
      <c r="W36" s="170"/>
    </row>
    <row r="37" spans="2:26" ht="15.75">
      <c r="B37" s="156" t="s">
        <v>109</v>
      </c>
      <c r="C37" s="157">
        <v>0</v>
      </c>
      <c r="D37" s="157">
        <v>0</v>
      </c>
      <c r="E37" s="157">
        <v>0</v>
      </c>
      <c r="F37" s="173">
        <v>0</v>
      </c>
      <c r="G37" s="170"/>
      <c r="H37" s="170"/>
      <c r="I37" s="166"/>
      <c r="J37" s="170"/>
      <c r="K37" s="170"/>
      <c r="L37" s="170"/>
      <c r="M37" s="153" t="s">
        <v>163</v>
      </c>
      <c r="N37" s="166"/>
      <c r="O37" s="170"/>
      <c r="P37" s="170"/>
      <c r="Q37" s="170"/>
      <c r="R37" s="170"/>
      <c r="S37" s="170"/>
      <c r="T37" s="170"/>
      <c r="U37" s="170"/>
      <c r="V37" s="170"/>
      <c r="W37" s="170"/>
    </row>
    <row r="38" spans="2:26" ht="15.75">
      <c r="B38" s="144" t="str">
        <f>CONCATENATE("Subtotal ",B28)</f>
        <v>Subtotal Standardization of Technical Analysis</v>
      </c>
      <c r="C38" s="163">
        <f>SUM(C29:C37)</f>
        <v>140000</v>
      </c>
      <c r="D38" s="163">
        <f t="shared" ref="D38:F38" si="12">SUM(D29:D37)</f>
        <v>42000</v>
      </c>
      <c r="E38" s="163">
        <f t="shared" si="12"/>
        <v>182000</v>
      </c>
      <c r="F38" s="163">
        <f t="shared" si="12"/>
        <v>27000</v>
      </c>
      <c r="G38" s="170"/>
      <c r="H38" s="170"/>
      <c r="I38" s="170"/>
      <c r="J38" s="170"/>
      <c r="K38" s="170"/>
      <c r="L38" s="170"/>
      <c r="M38" s="153"/>
      <c r="N38" s="166"/>
      <c r="O38" s="170"/>
      <c r="P38" s="170"/>
      <c r="Q38" s="170"/>
      <c r="R38" s="170"/>
      <c r="S38" s="170"/>
      <c r="T38" s="170"/>
      <c r="U38" s="170"/>
      <c r="V38" s="170"/>
      <c r="W38" s="170"/>
    </row>
    <row r="39" spans="2:26">
      <c r="M39" s="8"/>
    </row>
    <row r="40" spans="2:26">
      <c r="C40" s="3"/>
      <c r="D40" s="3"/>
      <c r="E40" s="3"/>
      <c r="M40" s="8"/>
    </row>
    <row r="41" spans="2:26" ht="15.75">
      <c r="B41" s="183" t="str">
        <f>'Category (2012)'!B9</f>
        <v>Tool Development</v>
      </c>
      <c r="C41" s="184"/>
      <c r="D41" s="184"/>
      <c r="E41" s="184"/>
      <c r="F41" s="185"/>
      <c r="G41" s="185"/>
      <c r="H41" s="185"/>
      <c r="I41" s="185"/>
      <c r="J41" s="185"/>
      <c r="K41" s="185"/>
      <c r="L41" s="185"/>
      <c r="M41" s="186"/>
      <c r="N41" s="187"/>
      <c r="O41" s="185"/>
      <c r="P41" s="185"/>
      <c r="Q41" s="185"/>
      <c r="R41" s="185"/>
      <c r="S41" s="185"/>
      <c r="T41" s="185"/>
      <c r="U41" s="185"/>
      <c r="V41" s="185"/>
      <c r="W41" s="185"/>
      <c r="X41" s="185"/>
      <c r="Y41" s="185"/>
      <c r="Z41" s="185"/>
    </row>
    <row r="42" spans="2:26" ht="15.75">
      <c r="B42" s="188" t="s">
        <v>102</v>
      </c>
      <c r="C42" s="184">
        <v>6000</v>
      </c>
      <c r="D42" s="184">
        <v>6000</v>
      </c>
      <c r="E42" s="184">
        <f>SUM(C42:D42)</f>
        <v>12000</v>
      </c>
      <c r="F42" s="184">
        <v>1000</v>
      </c>
      <c r="G42" s="185"/>
      <c r="H42" s="185"/>
      <c r="I42" s="187"/>
      <c r="J42" s="187"/>
      <c r="K42" s="187"/>
      <c r="L42" s="187"/>
      <c r="M42" s="186" t="s">
        <v>1</v>
      </c>
      <c r="N42" s="187"/>
      <c r="O42" s="185"/>
      <c r="P42" s="185"/>
      <c r="Q42" s="185"/>
      <c r="R42" s="185"/>
      <c r="S42" s="185"/>
      <c r="T42" s="185"/>
      <c r="U42" s="185"/>
      <c r="V42" s="185"/>
      <c r="W42" s="185"/>
      <c r="X42" s="185"/>
      <c r="Y42" s="185"/>
      <c r="Z42" s="185"/>
    </row>
    <row r="43" spans="2:26" ht="15.75">
      <c r="B43" s="188" t="s">
        <v>103</v>
      </c>
      <c r="C43" s="184">
        <v>30000</v>
      </c>
      <c r="D43" s="184">
        <v>6000</v>
      </c>
      <c r="E43" s="184">
        <f t="shared" ref="E43:E50" si="13">SUM(C43:D43)</f>
        <v>36000</v>
      </c>
      <c r="F43" s="184">
        <v>3000</v>
      </c>
      <c r="G43" s="185"/>
      <c r="H43" s="185"/>
      <c r="I43" s="185"/>
      <c r="J43" s="185"/>
      <c r="K43" s="185"/>
      <c r="L43" s="185"/>
      <c r="M43" s="186" t="s">
        <v>176</v>
      </c>
      <c r="N43" s="187"/>
      <c r="O43" s="185"/>
      <c r="P43" s="185"/>
      <c r="Q43" s="185"/>
      <c r="R43" s="185"/>
      <c r="S43" s="185"/>
      <c r="T43" s="185"/>
      <c r="U43" s="185"/>
      <c r="V43" s="185"/>
      <c r="W43" s="185"/>
      <c r="X43" s="185"/>
      <c r="Y43" s="185"/>
      <c r="Z43" s="185"/>
    </row>
    <row r="44" spans="2:26" ht="15.75">
      <c r="B44" s="188" t="s">
        <v>111</v>
      </c>
      <c r="C44" s="184">
        <v>0</v>
      </c>
      <c r="D44" s="184">
        <v>6000</v>
      </c>
      <c r="E44" s="184">
        <f t="shared" si="13"/>
        <v>6000</v>
      </c>
      <c r="F44" s="184">
        <v>3000</v>
      </c>
      <c r="G44" s="185"/>
      <c r="H44" s="185"/>
      <c r="I44" s="189"/>
      <c r="J44" s="189"/>
      <c r="K44" s="189"/>
      <c r="L44" s="189"/>
      <c r="M44" s="186" t="s">
        <v>171</v>
      </c>
      <c r="N44" s="187"/>
      <c r="O44" s="185"/>
      <c r="P44" s="185"/>
      <c r="Q44" s="185"/>
      <c r="R44" s="185"/>
      <c r="S44" s="185"/>
      <c r="T44" s="185"/>
      <c r="U44" s="185"/>
      <c r="V44" s="185"/>
      <c r="W44" s="185"/>
      <c r="X44" s="185"/>
      <c r="Y44" s="185"/>
      <c r="Z44" s="185"/>
    </row>
    <row r="45" spans="2:26" ht="15.75">
      <c r="B45" s="188" t="s">
        <v>105</v>
      </c>
      <c r="C45" s="184">
        <v>0</v>
      </c>
      <c r="D45" s="184">
        <v>6000</v>
      </c>
      <c r="E45" s="184">
        <f t="shared" si="13"/>
        <v>6000</v>
      </c>
      <c r="F45" s="184">
        <v>3000</v>
      </c>
      <c r="G45" s="185"/>
      <c r="H45" s="185"/>
      <c r="I45" s="189"/>
      <c r="J45" s="189"/>
      <c r="K45" s="189"/>
      <c r="L45" s="189"/>
      <c r="M45" s="186" t="s">
        <v>171</v>
      </c>
      <c r="N45" s="187"/>
      <c r="O45" s="185"/>
      <c r="P45" s="185"/>
      <c r="Q45" s="185"/>
      <c r="R45" s="185"/>
      <c r="S45" s="185"/>
      <c r="T45" s="185"/>
      <c r="U45" s="185"/>
      <c r="V45" s="185"/>
      <c r="W45" s="185"/>
      <c r="X45" s="185"/>
      <c r="Y45" s="185"/>
      <c r="Z45" s="185"/>
    </row>
    <row r="46" spans="2:26" ht="15.75">
      <c r="B46" s="188" t="s">
        <v>106</v>
      </c>
      <c r="C46" s="184">
        <v>0</v>
      </c>
      <c r="D46" s="184">
        <v>6000</v>
      </c>
      <c r="E46" s="184">
        <f t="shared" si="13"/>
        <v>6000</v>
      </c>
      <c r="F46" s="184">
        <v>0</v>
      </c>
      <c r="G46" s="185"/>
      <c r="H46" s="185"/>
      <c r="I46" s="189"/>
      <c r="J46" s="185"/>
      <c r="K46" s="185"/>
      <c r="L46" s="185"/>
      <c r="M46" s="186" t="s">
        <v>173</v>
      </c>
      <c r="N46" s="187"/>
      <c r="O46" s="185"/>
      <c r="P46" s="185"/>
      <c r="Q46" s="185"/>
      <c r="R46" s="185"/>
      <c r="S46" s="185"/>
      <c r="T46" s="185"/>
      <c r="U46" s="185"/>
      <c r="V46" s="185"/>
      <c r="W46" s="185"/>
      <c r="X46" s="185"/>
      <c r="Y46" s="185"/>
      <c r="Z46" s="185"/>
    </row>
    <row r="47" spans="2:26" ht="15.75">
      <c r="B47" s="188" t="s">
        <v>107</v>
      </c>
      <c r="C47" s="184">
        <v>30000</v>
      </c>
      <c r="D47" s="184">
        <v>6000</v>
      </c>
      <c r="E47" s="184">
        <f t="shared" si="13"/>
        <v>36000</v>
      </c>
      <c r="F47" s="184">
        <v>0</v>
      </c>
      <c r="G47" s="185"/>
      <c r="H47" s="185"/>
      <c r="I47" s="185"/>
      <c r="J47" s="185"/>
      <c r="K47" s="185"/>
      <c r="L47" s="185"/>
      <c r="M47" s="186" t="s">
        <v>174</v>
      </c>
      <c r="N47" s="187"/>
      <c r="O47" s="185"/>
      <c r="P47" s="185"/>
      <c r="Q47" s="185"/>
      <c r="R47" s="185"/>
      <c r="S47" s="185"/>
      <c r="T47" s="185"/>
      <c r="U47" s="185"/>
      <c r="V47" s="185"/>
      <c r="W47" s="185"/>
      <c r="X47" s="185"/>
      <c r="Y47" s="185"/>
      <c r="Z47" s="185"/>
    </row>
    <row r="48" spans="2:26" ht="15.75">
      <c r="B48" s="188" t="s">
        <v>172</v>
      </c>
      <c r="C48" s="184">
        <v>5000</v>
      </c>
      <c r="D48" s="184">
        <v>5000</v>
      </c>
      <c r="E48" s="184">
        <f t="shared" si="13"/>
        <v>10000</v>
      </c>
      <c r="F48" s="184">
        <v>0</v>
      </c>
      <c r="G48" s="185"/>
      <c r="H48" s="185"/>
      <c r="I48" s="187"/>
      <c r="J48" s="185"/>
      <c r="K48" s="185"/>
      <c r="L48" s="185"/>
      <c r="M48" s="186" t="s">
        <v>175</v>
      </c>
      <c r="N48" s="187"/>
      <c r="O48" s="185"/>
      <c r="P48" s="185"/>
      <c r="Q48" s="185"/>
      <c r="R48" s="185"/>
      <c r="S48" s="185"/>
      <c r="T48" s="185"/>
      <c r="U48" s="185"/>
      <c r="V48" s="185"/>
      <c r="W48" s="185"/>
      <c r="X48" s="185"/>
      <c r="Y48" s="185"/>
      <c r="Z48" s="185"/>
    </row>
    <row r="49" spans="2:26" ht="15.75">
      <c r="B49" s="188" t="s">
        <v>40</v>
      </c>
      <c r="C49" s="184">
        <v>5000</v>
      </c>
      <c r="D49" s="184">
        <v>5000</v>
      </c>
      <c r="E49" s="184">
        <f t="shared" si="13"/>
        <v>10000</v>
      </c>
      <c r="F49" s="184">
        <v>0</v>
      </c>
      <c r="G49" s="185"/>
      <c r="H49" s="185"/>
      <c r="I49" s="187"/>
      <c r="J49" s="185"/>
      <c r="K49" s="185"/>
      <c r="L49" s="185"/>
      <c r="M49" s="186" t="s">
        <v>177</v>
      </c>
      <c r="N49" s="187"/>
      <c r="O49" s="185"/>
      <c r="P49" s="185"/>
      <c r="Q49" s="185"/>
      <c r="R49" s="185"/>
      <c r="S49" s="185"/>
      <c r="T49" s="185"/>
      <c r="U49" s="185"/>
      <c r="V49" s="185"/>
      <c r="W49" s="185"/>
      <c r="X49" s="185"/>
      <c r="Y49" s="185"/>
      <c r="Z49" s="185"/>
    </row>
    <row r="50" spans="2:26" ht="15.75">
      <c r="B50" s="188" t="s">
        <v>41</v>
      </c>
      <c r="C50" s="184">
        <v>10000</v>
      </c>
      <c r="D50" s="184">
        <v>2000</v>
      </c>
      <c r="E50" s="184">
        <f t="shared" si="13"/>
        <v>12000</v>
      </c>
      <c r="F50" s="184">
        <v>2000</v>
      </c>
      <c r="G50" s="185"/>
      <c r="H50" s="185"/>
      <c r="I50" s="187"/>
      <c r="J50" s="185"/>
      <c r="K50" s="185"/>
      <c r="L50" s="185"/>
      <c r="M50" s="186"/>
      <c r="N50" s="187"/>
      <c r="O50" s="185"/>
      <c r="P50" s="185"/>
      <c r="Q50" s="185"/>
      <c r="R50" s="185"/>
      <c r="S50" s="185"/>
      <c r="T50" s="185"/>
      <c r="U50" s="185"/>
      <c r="V50" s="185"/>
      <c r="W50" s="185"/>
      <c r="X50" s="185"/>
      <c r="Y50" s="185"/>
      <c r="Z50" s="185"/>
    </row>
    <row r="51" spans="2:26" s="50" customFormat="1" ht="15.75">
      <c r="B51" s="190" t="s">
        <v>110</v>
      </c>
      <c r="C51" s="191">
        <v>0</v>
      </c>
      <c r="D51" s="191">
        <v>0</v>
      </c>
      <c r="E51" s="191">
        <v>0</v>
      </c>
      <c r="F51" s="191">
        <v>0</v>
      </c>
      <c r="G51" s="185"/>
      <c r="H51" s="185"/>
      <c r="I51" s="187"/>
      <c r="J51" s="187"/>
      <c r="K51" s="187"/>
      <c r="L51" s="187"/>
      <c r="M51" s="186" t="s">
        <v>170</v>
      </c>
      <c r="N51" s="187"/>
      <c r="O51" s="185"/>
      <c r="P51" s="185"/>
      <c r="Q51" s="185"/>
      <c r="R51" s="185"/>
      <c r="S51" s="185"/>
      <c r="T51" s="185"/>
      <c r="U51" s="185"/>
      <c r="V51" s="185"/>
      <c r="W51" s="185"/>
      <c r="X51" s="185"/>
      <c r="Y51" s="185"/>
      <c r="Z51" s="185"/>
    </row>
    <row r="52" spans="2:26" s="50" customFormat="1" ht="15.75">
      <c r="B52" s="190" t="s">
        <v>104</v>
      </c>
      <c r="C52" s="191">
        <v>0</v>
      </c>
      <c r="D52" s="191">
        <v>0</v>
      </c>
      <c r="E52" s="191">
        <v>0</v>
      </c>
      <c r="F52" s="191">
        <v>0</v>
      </c>
      <c r="G52" s="192"/>
      <c r="H52" s="192"/>
      <c r="I52" s="192"/>
      <c r="J52" s="192"/>
      <c r="K52" s="192"/>
      <c r="L52" s="192"/>
      <c r="M52" s="186" t="s">
        <v>170</v>
      </c>
      <c r="N52" s="187"/>
      <c r="O52" s="185"/>
      <c r="P52" s="185"/>
      <c r="Q52" s="185"/>
      <c r="R52" s="185"/>
      <c r="S52" s="185"/>
      <c r="T52" s="185"/>
      <c r="U52" s="185"/>
      <c r="V52" s="185"/>
      <c r="W52" s="185"/>
      <c r="X52" s="185"/>
      <c r="Y52" s="185"/>
      <c r="Z52" s="185"/>
    </row>
    <row r="53" spans="2:26" ht="15.75">
      <c r="B53" s="183" t="str">
        <f>CONCATENATE("Subtotal ",B41)</f>
        <v>Subtotal Tool Development</v>
      </c>
      <c r="C53" s="193">
        <f>SUM(C42:C52)</f>
        <v>86000</v>
      </c>
      <c r="D53" s="193">
        <f t="shared" ref="D53:F53" si="14">SUM(D42:D52)</f>
        <v>48000</v>
      </c>
      <c r="E53" s="193">
        <f t="shared" si="14"/>
        <v>134000</v>
      </c>
      <c r="F53" s="193">
        <f t="shared" si="14"/>
        <v>12000</v>
      </c>
      <c r="G53" s="185"/>
      <c r="H53" s="185"/>
      <c r="I53" s="185"/>
      <c r="J53" s="185"/>
      <c r="K53" s="185"/>
      <c r="L53" s="185"/>
      <c r="M53" s="186"/>
      <c r="N53" s="187"/>
      <c r="O53" s="185"/>
      <c r="P53" s="185"/>
      <c r="Q53" s="185"/>
      <c r="R53" s="185"/>
      <c r="S53" s="185"/>
      <c r="T53" s="185"/>
      <c r="U53" s="185"/>
      <c r="V53" s="185"/>
      <c r="W53" s="185"/>
      <c r="X53" s="185"/>
      <c r="Y53" s="185"/>
      <c r="Z53" s="185"/>
    </row>
    <row r="54" spans="2:26" ht="15.75">
      <c r="B54" s="188"/>
      <c r="C54" s="184"/>
      <c r="D54" s="184"/>
      <c r="E54" s="184"/>
      <c r="F54" s="185"/>
      <c r="G54" s="185"/>
      <c r="H54" s="185"/>
      <c r="I54" s="185"/>
      <c r="J54" s="185"/>
      <c r="K54" s="185"/>
      <c r="L54" s="185"/>
      <c r="M54" s="186"/>
      <c r="N54" s="187"/>
      <c r="O54" s="185"/>
      <c r="P54" s="185"/>
      <c r="Q54" s="185"/>
      <c r="R54" s="185"/>
      <c r="S54" s="185"/>
      <c r="T54" s="185"/>
      <c r="U54" s="185"/>
      <c r="V54" s="185"/>
      <c r="W54" s="185"/>
      <c r="X54" s="185"/>
      <c r="Y54" s="185"/>
      <c r="Z54" s="185"/>
    </row>
    <row r="55" spans="2:26" ht="15.75">
      <c r="B55" s="188"/>
      <c r="C55" s="184"/>
      <c r="D55" s="184"/>
      <c r="E55" s="184"/>
      <c r="F55" s="185"/>
      <c r="G55" s="185"/>
      <c r="H55" s="185"/>
      <c r="I55" s="185"/>
      <c r="J55" s="185"/>
      <c r="K55" s="185"/>
      <c r="L55" s="185"/>
      <c r="M55" s="186"/>
      <c r="N55" s="187"/>
      <c r="O55" s="185"/>
      <c r="P55" s="185"/>
      <c r="Q55" s="185"/>
      <c r="R55" s="185"/>
      <c r="S55" s="185"/>
      <c r="T55" s="185"/>
      <c r="U55" s="185"/>
      <c r="V55" s="185"/>
      <c r="W55" s="185"/>
      <c r="X55" s="185"/>
      <c r="Y55" s="185"/>
      <c r="Z55" s="185"/>
    </row>
    <row r="56" spans="2:26" ht="15.75">
      <c r="B56" s="183" t="str">
        <f>'Category (2012)'!B10</f>
        <v>Research Projects &amp; Data Development</v>
      </c>
      <c r="C56" s="184"/>
      <c r="D56" s="184"/>
      <c r="E56" s="184"/>
      <c r="F56" s="185"/>
      <c r="G56" s="185"/>
      <c r="H56" s="185"/>
      <c r="I56" s="185"/>
      <c r="J56" s="185"/>
      <c r="K56" s="185"/>
      <c r="L56" s="185"/>
      <c r="M56" s="186"/>
      <c r="N56" s="187"/>
      <c r="O56" s="185"/>
      <c r="P56" s="185"/>
      <c r="Q56" s="185"/>
      <c r="R56" s="185"/>
      <c r="S56" s="185"/>
      <c r="T56" s="185"/>
      <c r="U56" s="185"/>
      <c r="V56" s="185"/>
      <c r="W56" s="185"/>
      <c r="X56" s="185"/>
      <c r="Y56" s="185"/>
      <c r="Z56" s="185"/>
    </row>
    <row r="57" spans="2:26" ht="15.75">
      <c r="B57" s="188" t="s">
        <v>100</v>
      </c>
      <c r="C57" s="184">
        <v>50000</v>
      </c>
      <c r="D57" s="184">
        <v>12000</v>
      </c>
      <c r="E57" s="184">
        <f>SUM(C57:D57)</f>
        <v>62000</v>
      </c>
      <c r="F57" s="194">
        <f>1/2*D57</f>
        <v>6000</v>
      </c>
      <c r="G57" s="185"/>
      <c r="H57" s="185"/>
      <c r="I57" s="185"/>
      <c r="J57" s="185"/>
      <c r="K57" s="185"/>
      <c r="L57" s="185"/>
      <c r="M57" s="186"/>
      <c r="N57" s="187"/>
      <c r="O57" s="185"/>
      <c r="P57" s="185"/>
      <c r="Q57" s="185"/>
      <c r="R57" s="185"/>
      <c r="S57" s="185"/>
      <c r="T57" s="185"/>
      <c r="U57" s="185"/>
      <c r="V57" s="185"/>
      <c r="W57" s="185"/>
      <c r="X57" s="185"/>
      <c r="Y57" s="185"/>
      <c r="Z57" s="185"/>
    </row>
    <row r="58" spans="2:26" ht="15.75">
      <c r="B58" s="188" t="s">
        <v>121</v>
      </c>
      <c r="C58" s="184">
        <v>100000</v>
      </c>
      <c r="D58" s="184">
        <v>12000</v>
      </c>
      <c r="E58" s="184">
        <f t="shared" ref="E58:E60" si="15">SUM(C58:D58)</f>
        <v>112000</v>
      </c>
      <c r="F58" s="194">
        <f t="shared" ref="F58:F60" si="16">1/2*D58</f>
        <v>6000</v>
      </c>
      <c r="G58" s="185"/>
      <c r="H58" s="185"/>
      <c r="I58" s="187"/>
      <c r="J58" s="185"/>
      <c r="K58" s="185"/>
      <c r="L58" s="185"/>
      <c r="M58" s="186"/>
      <c r="N58" s="187"/>
      <c r="O58" s="185"/>
      <c r="P58" s="185"/>
      <c r="Q58" s="185"/>
      <c r="R58" s="185"/>
      <c r="S58" s="185"/>
      <c r="T58" s="185"/>
      <c r="U58" s="185"/>
      <c r="V58" s="185"/>
      <c r="W58" s="185"/>
      <c r="X58" s="185"/>
      <c r="Y58" s="185"/>
      <c r="Z58" s="185"/>
    </row>
    <row r="59" spans="2:26" ht="15.75">
      <c r="B59" s="188" t="s">
        <v>30</v>
      </c>
      <c r="C59" s="184">
        <v>30000</v>
      </c>
      <c r="D59" s="184">
        <v>12000</v>
      </c>
      <c r="E59" s="184">
        <f t="shared" si="15"/>
        <v>42000</v>
      </c>
      <c r="F59" s="194">
        <f t="shared" si="16"/>
        <v>6000</v>
      </c>
      <c r="G59" s="185"/>
      <c r="H59" s="185"/>
      <c r="I59" s="187"/>
      <c r="J59" s="187"/>
      <c r="K59" s="187"/>
      <c r="L59" s="187"/>
      <c r="M59" s="195"/>
      <c r="N59" s="187"/>
      <c r="O59" s="185"/>
      <c r="P59" s="185"/>
      <c r="Q59" s="185"/>
      <c r="R59" s="185"/>
      <c r="S59" s="185"/>
      <c r="T59" s="185"/>
      <c r="U59" s="185"/>
      <c r="V59" s="185"/>
      <c r="W59" s="185"/>
      <c r="X59" s="185"/>
      <c r="Y59" s="185"/>
      <c r="Z59" s="185"/>
    </row>
    <row r="60" spans="2:26" ht="15.75">
      <c r="B60" s="188" t="s">
        <v>23</v>
      </c>
      <c r="C60" s="184">
        <v>50000</v>
      </c>
      <c r="D60" s="184">
        <v>12000</v>
      </c>
      <c r="E60" s="184">
        <f t="shared" si="15"/>
        <v>62000</v>
      </c>
      <c r="F60" s="194">
        <f t="shared" si="16"/>
        <v>6000</v>
      </c>
      <c r="G60" s="185"/>
      <c r="H60" s="185"/>
      <c r="I60" s="185"/>
      <c r="J60" s="185"/>
      <c r="K60" s="185"/>
      <c r="L60" s="185"/>
      <c r="M60" s="186"/>
      <c r="N60" s="187"/>
      <c r="O60" s="185"/>
      <c r="P60" s="185"/>
      <c r="Q60" s="185"/>
      <c r="R60" s="185"/>
      <c r="S60" s="185"/>
      <c r="T60" s="185"/>
      <c r="U60" s="185"/>
      <c r="V60" s="185"/>
      <c r="W60" s="185"/>
      <c r="X60" s="185"/>
      <c r="Y60" s="185"/>
      <c r="Z60" s="185"/>
    </row>
    <row r="61" spans="2:26" ht="15.75">
      <c r="B61" s="183" t="str">
        <f>CONCATENATE("Subtotal ",B56)</f>
        <v>Subtotal Research Projects &amp; Data Development</v>
      </c>
      <c r="C61" s="193">
        <f>SUM(C57:C60)</f>
        <v>230000</v>
      </c>
      <c r="D61" s="193">
        <f>SUM(D57:D60)</f>
        <v>48000</v>
      </c>
      <c r="E61" s="193">
        <f>SUM(E57:E60)</f>
        <v>278000</v>
      </c>
      <c r="F61" s="193">
        <f>SUM(F57:F60)</f>
        <v>24000</v>
      </c>
      <c r="G61" s="185"/>
      <c r="H61" s="185"/>
      <c r="I61" s="185"/>
      <c r="J61" s="185"/>
      <c r="K61" s="185"/>
      <c r="L61" s="185"/>
      <c r="M61" s="186"/>
      <c r="N61" s="187"/>
      <c r="O61" s="185"/>
      <c r="P61" s="185"/>
      <c r="Q61" s="185"/>
      <c r="R61" s="185"/>
      <c r="S61" s="185"/>
      <c r="T61" s="185"/>
      <c r="U61" s="185"/>
      <c r="V61" s="185"/>
      <c r="W61" s="185"/>
      <c r="X61" s="185"/>
      <c r="Y61" s="185"/>
      <c r="Z61" s="185"/>
    </row>
    <row r="62" spans="2:26">
      <c r="B62" s="185"/>
      <c r="C62" s="184"/>
      <c r="D62" s="184"/>
      <c r="E62" s="184"/>
      <c r="F62" s="185"/>
      <c r="G62" s="185"/>
      <c r="H62" s="185"/>
      <c r="I62" s="185"/>
      <c r="J62" s="185"/>
      <c r="K62" s="185"/>
      <c r="L62" s="185"/>
      <c r="M62" s="186"/>
      <c r="N62" s="187"/>
      <c r="O62" s="185"/>
      <c r="P62" s="185"/>
      <c r="Q62" s="185"/>
      <c r="R62" s="185"/>
      <c r="S62" s="185"/>
      <c r="T62" s="185"/>
      <c r="U62" s="185"/>
      <c r="V62" s="185"/>
      <c r="W62" s="185"/>
      <c r="X62" s="185"/>
      <c r="Y62" s="185"/>
      <c r="Z62" s="185"/>
    </row>
    <row r="63" spans="2:26" ht="15.75">
      <c r="B63" s="188"/>
      <c r="C63" s="184"/>
      <c r="D63" s="184"/>
      <c r="E63" s="184"/>
      <c r="F63" s="185"/>
      <c r="G63" s="185"/>
      <c r="H63" s="185"/>
      <c r="I63" s="185"/>
      <c r="J63" s="185"/>
      <c r="K63" s="185"/>
      <c r="L63" s="185"/>
      <c r="M63" s="186"/>
      <c r="N63" s="187"/>
      <c r="O63" s="185"/>
      <c r="P63" s="185"/>
      <c r="Q63" s="185"/>
      <c r="R63" s="185"/>
      <c r="S63" s="185"/>
      <c r="T63" s="185"/>
      <c r="U63" s="185"/>
      <c r="V63" s="185"/>
      <c r="W63" s="185"/>
      <c r="X63" s="185"/>
      <c r="Y63" s="185"/>
      <c r="Z63" s="185"/>
    </row>
    <row r="64" spans="2:26" ht="15.75">
      <c r="B64" s="183" t="str">
        <f>'Category (2012)'!B11</f>
        <v>Regional Coordination</v>
      </c>
      <c r="C64" s="184"/>
      <c r="D64" s="184"/>
      <c r="E64" s="184"/>
      <c r="F64" s="185"/>
      <c r="G64" s="185"/>
      <c r="H64" s="185"/>
      <c r="I64" s="185"/>
      <c r="J64" s="185"/>
      <c r="K64" s="185"/>
      <c r="L64" s="185"/>
      <c r="M64" s="186"/>
      <c r="N64" s="187"/>
      <c r="O64" s="185"/>
      <c r="P64" s="185"/>
      <c r="Q64" s="185"/>
      <c r="R64" s="185"/>
      <c r="S64" s="185"/>
      <c r="T64" s="185"/>
      <c r="U64" s="185"/>
      <c r="V64" s="185"/>
      <c r="W64" s="185"/>
      <c r="X64" s="185"/>
      <c r="Y64" s="185"/>
      <c r="Z64" s="185"/>
    </row>
    <row r="65" spans="2:26" ht="15.75">
      <c r="B65" s="188" t="s">
        <v>239</v>
      </c>
      <c r="C65" s="184">
        <v>0</v>
      </c>
      <c r="D65" s="184">
        <v>6000</v>
      </c>
      <c r="E65" s="184">
        <f>SUM(C65:D65)</f>
        <v>6000</v>
      </c>
      <c r="F65" s="184">
        <v>2000</v>
      </c>
      <c r="G65" s="185"/>
      <c r="H65" s="185"/>
      <c r="I65" s="196"/>
      <c r="J65" s="196"/>
      <c r="K65" s="196"/>
      <c r="L65" s="196"/>
      <c r="M65" s="186" t="s">
        <v>178</v>
      </c>
      <c r="N65" s="187"/>
      <c r="O65" s="185"/>
      <c r="P65" s="185"/>
      <c r="Q65" s="185"/>
      <c r="R65" s="185"/>
      <c r="S65" s="185"/>
      <c r="T65" s="185"/>
      <c r="U65" s="185"/>
      <c r="V65" s="185"/>
      <c r="W65" s="185"/>
      <c r="X65" s="185"/>
      <c r="Y65" s="185"/>
      <c r="Z65" s="185"/>
    </row>
    <row r="66" spans="2:26" ht="15.75">
      <c r="B66" s="188" t="s">
        <v>118</v>
      </c>
      <c r="C66" s="184">
        <v>0</v>
      </c>
      <c r="D66" s="184">
        <v>12000</v>
      </c>
      <c r="E66" s="184">
        <f t="shared" ref="E66:E69" si="17">SUM(C66:D66)</f>
        <v>12000</v>
      </c>
      <c r="F66" s="184">
        <v>2000</v>
      </c>
      <c r="G66" s="185"/>
      <c r="H66" s="185"/>
      <c r="I66" s="185"/>
      <c r="J66" s="185"/>
      <c r="K66" s="185"/>
      <c r="L66" s="185"/>
      <c r="M66" s="186" t="s">
        <v>179</v>
      </c>
      <c r="N66" s="187"/>
      <c r="O66" s="185"/>
      <c r="P66" s="185"/>
      <c r="Q66" s="185"/>
      <c r="R66" s="185"/>
      <c r="S66" s="185"/>
      <c r="T66" s="185"/>
      <c r="U66" s="185"/>
      <c r="V66" s="185"/>
      <c r="W66" s="185"/>
      <c r="X66" s="185"/>
      <c r="Y66" s="185"/>
      <c r="Z66" s="185"/>
    </row>
    <row r="67" spans="2:26" ht="15.75">
      <c r="B67" s="188" t="s">
        <v>39</v>
      </c>
      <c r="C67" s="184">
        <v>0</v>
      </c>
      <c r="D67" s="184">
        <v>24000</v>
      </c>
      <c r="E67" s="184">
        <f t="shared" si="17"/>
        <v>24000</v>
      </c>
      <c r="F67" s="184">
        <v>2000</v>
      </c>
      <c r="G67" s="185"/>
      <c r="H67" s="185"/>
      <c r="I67" s="185"/>
      <c r="J67" s="185"/>
      <c r="K67" s="185"/>
      <c r="L67" s="185"/>
      <c r="M67" s="186"/>
      <c r="N67" s="187"/>
      <c r="O67" s="185"/>
      <c r="P67" s="185"/>
      <c r="Q67" s="185"/>
      <c r="R67" s="185"/>
      <c r="S67" s="185"/>
      <c r="T67" s="185"/>
      <c r="U67" s="185"/>
      <c r="V67" s="185"/>
      <c r="W67" s="185"/>
      <c r="X67" s="185"/>
      <c r="Y67" s="185"/>
      <c r="Z67" s="185"/>
    </row>
    <row r="68" spans="2:26" ht="15.75">
      <c r="B68" s="188" t="s">
        <v>0</v>
      </c>
      <c r="C68" s="184">
        <v>0</v>
      </c>
      <c r="D68" s="184">
        <f>40*150</f>
        <v>6000</v>
      </c>
      <c r="E68" s="184">
        <f t="shared" si="17"/>
        <v>6000</v>
      </c>
      <c r="F68" s="184">
        <v>4000</v>
      </c>
      <c r="G68" s="185"/>
      <c r="H68" s="185"/>
      <c r="I68" s="185"/>
      <c r="J68" s="185"/>
      <c r="K68" s="185"/>
      <c r="L68" s="185"/>
      <c r="M68" s="186" t="s">
        <v>240</v>
      </c>
      <c r="N68" s="187"/>
      <c r="O68" s="185"/>
      <c r="P68" s="185"/>
      <c r="Q68" s="185"/>
      <c r="R68" s="185"/>
      <c r="S68" s="185"/>
      <c r="T68" s="185"/>
      <c r="U68" s="185"/>
      <c r="V68" s="185"/>
      <c r="W68" s="185"/>
      <c r="X68" s="185"/>
      <c r="Y68" s="185"/>
      <c r="Z68" s="185"/>
    </row>
    <row r="69" spans="2:26" ht="15.75">
      <c r="B69" s="188" t="s">
        <v>23</v>
      </c>
      <c r="C69" s="184">
        <v>0</v>
      </c>
      <c r="D69" s="184">
        <v>10000</v>
      </c>
      <c r="E69" s="184">
        <f t="shared" si="17"/>
        <v>10000</v>
      </c>
      <c r="F69" s="184">
        <v>2000</v>
      </c>
      <c r="G69" s="185"/>
      <c r="H69" s="185"/>
      <c r="I69" s="185"/>
      <c r="J69" s="185"/>
      <c r="K69" s="185"/>
      <c r="L69" s="185"/>
      <c r="M69" s="186"/>
      <c r="N69" s="187"/>
      <c r="O69" s="185"/>
      <c r="P69" s="185"/>
      <c r="Q69" s="185"/>
      <c r="R69" s="185"/>
      <c r="S69" s="185"/>
      <c r="T69" s="185"/>
      <c r="U69" s="185"/>
      <c r="V69" s="185"/>
      <c r="W69" s="185"/>
      <c r="X69" s="185"/>
      <c r="Y69" s="185"/>
      <c r="Z69" s="185"/>
    </row>
    <row r="70" spans="2:26" ht="15.75">
      <c r="B70" s="183" t="str">
        <f>CONCATENATE("Subtotal ",B64)</f>
        <v>Subtotal Regional Coordination</v>
      </c>
      <c r="C70" s="193">
        <f>SUM(C65:C69)</f>
        <v>0</v>
      </c>
      <c r="D70" s="193">
        <f>SUM(D65:D69)</f>
        <v>58000</v>
      </c>
      <c r="E70" s="193">
        <f>SUM(E65:E69)</f>
        <v>58000</v>
      </c>
      <c r="F70" s="193">
        <f>SUM(F65:F69)</f>
        <v>12000</v>
      </c>
      <c r="G70" s="185"/>
      <c r="H70" s="185"/>
      <c r="I70" s="185"/>
      <c r="J70" s="185"/>
      <c r="K70" s="185"/>
      <c r="L70" s="185"/>
      <c r="M70" s="186"/>
      <c r="N70" s="187"/>
      <c r="O70" s="185"/>
      <c r="P70" s="185"/>
      <c r="Q70" s="185"/>
      <c r="R70" s="185"/>
      <c r="S70" s="185"/>
      <c r="T70" s="185"/>
      <c r="U70" s="185"/>
      <c r="V70" s="185"/>
      <c r="W70" s="185"/>
      <c r="X70" s="185"/>
      <c r="Y70" s="185"/>
      <c r="Z70" s="185"/>
    </row>
    <row r="71" spans="2:26">
      <c r="B71" s="185"/>
      <c r="C71" s="184"/>
      <c r="D71" s="184"/>
      <c r="E71" s="184"/>
      <c r="F71" s="185"/>
      <c r="G71" s="185"/>
      <c r="H71" s="185"/>
      <c r="I71" s="185"/>
      <c r="J71" s="185"/>
      <c r="K71" s="185"/>
      <c r="L71" s="185"/>
      <c r="M71" s="186"/>
      <c r="N71" s="187"/>
      <c r="O71" s="185"/>
      <c r="P71" s="185"/>
      <c r="Q71" s="185"/>
      <c r="R71" s="185"/>
      <c r="S71" s="185"/>
      <c r="T71" s="185"/>
      <c r="U71" s="185"/>
      <c r="V71" s="185"/>
      <c r="W71" s="185"/>
      <c r="X71" s="185"/>
      <c r="Y71" s="185"/>
      <c r="Z71" s="185"/>
    </row>
    <row r="72" spans="2:26" ht="15.75">
      <c r="B72" s="1"/>
      <c r="C72" s="3"/>
      <c r="D72" s="3"/>
      <c r="E72" s="3"/>
      <c r="M72" s="8"/>
    </row>
    <row r="73" spans="2:26" ht="15.75">
      <c r="B73" s="176" t="str">
        <f>'Category (2012)'!B12</f>
        <v xml:space="preserve">Website, Database support, Conservation Tracking </v>
      </c>
      <c r="C73" s="177"/>
      <c r="D73" s="177"/>
      <c r="E73" s="177"/>
      <c r="F73" s="178"/>
      <c r="G73" s="178"/>
      <c r="H73" s="178"/>
      <c r="I73" s="178"/>
      <c r="J73" s="178"/>
      <c r="K73" s="178"/>
      <c r="L73" s="178"/>
      <c r="M73" s="179"/>
      <c r="N73" s="180"/>
      <c r="O73" s="178"/>
      <c r="P73" s="178"/>
      <c r="Q73" s="178"/>
      <c r="R73" s="178"/>
      <c r="S73" s="178"/>
      <c r="T73" s="178"/>
      <c r="U73" s="178"/>
      <c r="V73" s="178"/>
      <c r="W73" s="178"/>
      <c r="X73" s="178"/>
      <c r="Y73" s="178"/>
      <c r="Z73" s="178"/>
    </row>
    <row r="74" spans="2:26" ht="15.75">
      <c r="B74" s="181" t="s">
        <v>120</v>
      </c>
      <c r="C74" s="177">
        <v>0</v>
      </c>
      <c r="D74" s="177">
        <v>0</v>
      </c>
      <c r="E74" s="177">
        <f>SUM(C74:D74)</f>
        <v>0</v>
      </c>
      <c r="F74" s="177">
        <v>30000</v>
      </c>
      <c r="G74" s="178"/>
      <c r="H74" s="178"/>
      <c r="I74" s="178"/>
      <c r="J74" s="178"/>
      <c r="K74" s="178"/>
      <c r="L74" s="178"/>
      <c r="M74" s="179"/>
      <c r="N74" s="180"/>
      <c r="O74" s="178"/>
      <c r="P74" s="178"/>
      <c r="Q74" s="178"/>
      <c r="R74" s="178"/>
      <c r="S74" s="178"/>
      <c r="T74" s="178"/>
      <c r="U74" s="178"/>
      <c r="V74" s="178"/>
      <c r="W74" s="178"/>
      <c r="X74" s="178"/>
      <c r="Y74" s="178"/>
      <c r="Z74" s="178"/>
    </row>
    <row r="75" spans="2:26" ht="15.75">
      <c r="B75" s="181" t="s">
        <v>119</v>
      </c>
      <c r="C75" s="177">
        <v>0</v>
      </c>
      <c r="D75" s="177">
        <v>0</v>
      </c>
      <c r="E75" s="177">
        <f t="shared" ref="E75:E76" si="18">SUM(C75:D75)</f>
        <v>0</v>
      </c>
      <c r="F75" s="177">
        <v>12000</v>
      </c>
      <c r="G75" s="178"/>
      <c r="H75" s="178"/>
      <c r="I75" s="178"/>
      <c r="J75" s="178"/>
      <c r="K75" s="178"/>
      <c r="L75" s="178"/>
      <c r="M75" s="179"/>
      <c r="N75" s="180"/>
      <c r="O75" s="178"/>
      <c r="P75" s="178"/>
      <c r="Q75" s="178"/>
      <c r="R75" s="178"/>
      <c r="S75" s="178"/>
      <c r="T75" s="178"/>
      <c r="U75" s="178"/>
      <c r="V75" s="178"/>
      <c r="W75" s="178"/>
      <c r="X75" s="178"/>
      <c r="Y75" s="178"/>
      <c r="Z75" s="178"/>
    </row>
    <row r="76" spans="2:26" ht="15.75">
      <c r="B76" s="181" t="s">
        <v>33</v>
      </c>
      <c r="C76" s="177">
        <v>0</v>
      </c>
      <c r="D76" s="177">
        <v>0</v>
      </c>
      <c r="E76" s="177">
        <f t="shared" si="18"/>
        <v>0</v>
      </c>
      <c r="F76" s="177">
        <v>8000</v>
      </c>
      <c r="G76" s="178"/>
      <c r="H76" s="178"/>
      <c r="I76" s="197"/>
      <c r="J76" s="197"/>
      <c r="K76" s="197"/>
      <c r="L76" s="197"/>
      <c r="M76" s="179" t="s">
        <v>241</v>
      </c>
      <c r="N76" s="180"/>
      <c r="O76" s="178"/>
      <c r="P76" s="178"/>
      <c r="Q76" s="178"/>
      <c r="R76" s="178"/>
      <c r="S76" s="178"/>
      <c r="T76" s="178"/>
      <c r="U76" s="178"/>
      <c r="V76" s="178"/>
      <c r="W76" s="178"/>
      <c r="X76" s="178"/>
      <c r="Y76" s="178"/>
      <c r="Z76" s="178"/>
    </row>
    <row r="77" spans="2:26" ht="15.75">
      <c r="B77" s="176" t="str">
        <f>CONCATENATE("Subtotal ",B73)</f>
        <v xml:space="preserve">Subtotal Website, Database support, Conservation Tracking </v>
      </c>
      <c r="C77" s="182">
        <f>SUM(C74:C76)</f>
        <v>0</v>
      </c>
      <c r="D77" s="182">
        <f t="shared" ref="D77:F77" si="19">SUM(D74:D76)</f>
        <v>0</v>
      </c>
      <c r="E77" s="182">
        <f t="shared" si="19"/>
        <v>0</v>
      </c>
      <c r="F77" s="182">
        <f t="shared" si="19"/>
        <v>50000</v>
      </c>
      <c r="G77" s="178"/>
      <c r="H77" s="178"/>
      <c r="I77" s="178"/>
      <c r="J77" s="178"/>
      <c r="K77" s="178"/>
      <c r="L77" s="178"/>
      <c r="M77" s="179"/>
      <c r="N77" s="180"/>
      <c r="O77" s="178"/>
      <c r="P77" s="178"/>
      <c r="Q77" s="178"/>
      <c r="R77" s="178"/>
      <c r="S77" s="178"/>
      <c r="T77" s="178"/>
      <c r="U77" s="178"/>
      <c r="V77" s="178"/>
      <c r="W77" s="178"/>
      <c r="X77" s="178"/>
      <c r="Y77" s="178"/>
      <c r="Z77" s="178"/>
    </row>
    <row r="78" spans="2:26" ht="15.75">
      <c r="B78" s="176"/>
      <c r="C78" s="177"/>
      <c r="D78" s="177"/>
      <c r="E78" s="177"/>
      <c r="F78" s="177"/>
      <c r="G78" s="178"/>
      <c r="H78" s="178"/>
      <c r="I78" s="178"/>
      <c r="J78" s="178"/>
      <c r="K78" s="178"/>
      <c r="L78" s="178"/>
      <c r="M78" s="179"/>
      <c r="N78" s="180"/>
      <c r="O78" s="178"/>
      <c r="P78" s="178"/>
      <c r="Q78" s="178"/>
      <c r="R78" s="178"/>
      <c r="S78" s="178"/>
      <c r="T78" s="178"/>
      <c r="U78" s="178"/>
      <c r="V78" s="178"/>
      <c r="W78" s="178"/>
      <c r="X78" s="178"/>
      <c r="Y78" s="178"/>
      <c r="Z78" s="178"/>
    </row>
    <row r="79" spans="2:26" ht="15.75">
      <c r="B79" s="181"/>
      <c r="C79" s="177"/>
      <c r="D79" s="177"/>
      <c r="E79" s="177"/>
      <c r="F79" s="177"/>
      <c r="G79" s="178"/>
      <c r="H79" s="178"/>
      <c r="I79" s="178"/>
      <c r="J79" s="178"/>
      <c r="K79" s="178"/>
      <c r="L79" s="178"/>
      <c r="M79" s="179"/>
      <c r="N79" s="180"/>
      <c r="O79" s="178"/>
      <c r="P79" s="178"/>
      <c r="Q79" s="178"/>
      <c r="R79" s="178"/>
      <c r="S79" s="178"/>
      <c r="T79" s="178"/>
      <c r="U79" s="178"/>
      <c r="V79" s="178"/>
      <c r="W79" s="178"/>
      <c r="X79" s="178"/>
      <c r="Y79" s="178"/>
      <c r="Z79" s="178"/>
    </row>
    <row r="80" spans="2:26" ht="15.75">
      <c r="B80" s="176" t="str">
        <f>'Category (2012)'!B13</f>
        <v>RTF Member Support &amp; Administration</v>
      </c>
      <c r="C80" s="177"/>
      <c r="D80" s="177"/>
      <c r="E80" s="177"/>
      <c r="F80" s="177"/>
      <c r="G80" s="178"/>
      <c r="H80" s="178"/>
      <c r="I80" s="178"/>
      <c r="J80" s="178"/>
      <c r="K80" s="178"/>
      <c r="L80" s="178"/>
      <c r="M80" s="179"/>
      <c r="N80" s="180"/>
      <c r="O80" s="178"/>
      <c r="P80" s="178"/>
      <c r="Q80" s="178"/>
      <c r="R80" s="178"/>
      <c r="S80" s="178"/>
      <c r="T80" s="178"/>
      <c r="U80" s="178"/>
      <c r="V80" s="178"/>
      <c r="W80" s="178"/>
      <c r="X80" s="178"/>
      <c r="Y80" s="178"/>
      <c r="Z80" s="178"/>
    </row>
    <row r="81" spans="2:26" ht="15.75">
      <c r="B81" s="181" t="s">
        <v>34</v>
      </c>
      <c r="C81" s="177">
        <v>24000</v>
      </c>
      <c r="D81" s="177">
        <v>0</v>
      </c>
      <c r="E81" s="177">
        <f>SUM(C81:D81)</f>
        <v>24000</v>
      </c>
      <c r="F81" s="177">
        <v>7000</v>
      </c>
      <c r="G81" s="178"/>
      <c r="H81" s="178"/>
      <c r="I81" s="178"/>
      <c r="J81" s="178"/>
      <c r="K81" s="178"/>
      <c r="L81" s="178"/>
      <c r="M81" s="178" t="s">
        <v>213</v>
      </c>
      <c r="N81" s="180"/>
      <c r="O81" s="178"/>
      <c r="P81" s="178"/>
      <c r="Q81" s="178"/>
      <c r="R81" s="178"/>
      <c r="S81" s="178"/>
      <c r="T81" s="178"/>
      <c r="U81" s="178"/>
      <c r="V81" s="178"/>
      <c r="W81" s="178"/>
      <c r="X81" s="178"/>
      <c r="Y81" s="178"/>
      <c r="Z81" s="178"/>
    </row>
    <row r="82" spans="2:26" ht="15.75">
      <c r="B82" s="181" t="s">
        <v>35</v>
      </c>
      <c r="C82" s="177">
        <v>150000</v>
      </c>
      <c r="D82" s="177">
        <v>0</v>
      </c>
      <c r="E82" s="177">
        <f>SUM(C82:D82)</f>
        <v>150000</v>
      </c>
      <c r="F82" s="177">
        <v>0</v>
      </c>
      <c r="G82" s="178"/>
      <c r="H82" s="178"/>
      <c r="I82" s="178"/>
      <c r="J82" s="178"/>
      <c r="K82" s="178"/>
      <c r="L82" s="178"/>
      <c r="M82" s="179" t="s">
        <v>36</v>
      </c>
      <c r="N82" s="180"/>
      <c r="O82" s="178"/>
      <c r="P82" s="178"/>
      <c r="Q82" s="178"/>
      <c r="R82" s="178"/>
      <c r="S82" s="178"/>
      <c r="T82" s="178"/>
      <c r="U82" s="178"/>
      <c r="V82" s="178"/>
      <c r="W82" s="178"/>
      <c r="X82" s="178"/>
      <c r="Y82" s="178"/>
      <c r="Z82" s="178"/>
    </row>
    <row r="83" spans="2:26" ht="15.75">
      <c r="B83" s="176" t="str">
        <f>CONCATENATE("Subtotal ",B80)</f>
        <v>Subtotal RTF Member Support &amp; Administration</v>
      </c>
      <c r="C83" s="182">
        <f>SUM(C81:C82)</f>
        <v>174000</v>
      </c>
      <c r="D83" s="182">
        <f t="shared" ref="D83:F83" si="20">SUM(D81:D82)</f>
        <v>0</v>
      </c>
      <c r="E83" s="182">
        <f t="shared" si="20"/>
        <v>174000</v>
      </c>
      <c r="F83" s="182">
        <f t="shared" si="20"/>
        <v>7000</v>
      </c>
      <c r="G83" s="178"/>
      <c r="H83" s="178"/>
      <c r="I83" s="178"/>
      <c r="J83" s="178"/>
      <c r="K83" s="178"/>
      <c r="L83" s="178"/>
      <c r="M83" s="198"/>
      <c r="N83" s="180"/>
      <c r="O83" s="178"/>
      <c r="P83" s="178"/>
      <c r="Q83" s="178"/>
      <c r="R83" s="178"/>
      <c r="S83" s="178"/>
      <c r="T83" s="178"/>
      <c r="U83" s="178"/>
      <c r="V83" s="178"/>
      <c r="W83" s="178"/>
      <c r="X83" s="178"/>
      <c r="Y83" s="178"/>
      <c r="Z83" s="178"/>
    </row>
    <row r="84" spans="2:26">
      <c r="B84" s="178"/>
      <c r="C84" s="177"/>
      <c r="D84" s="177"/>
      <c r="E84" s="177"/>
      <c r="F84" s="177"/>
      <c r="G84" s="178"/>
      <c r="H84" s="178"/>
      <c r="I84" s="178"/>
      <c r="J84" s="178"/>
      <c r="K84" s="178"/>
      <c r="L84" s="178"/>
      <c r="M84" s="198"/>
      <c r="N84" s="180"/>
      <c r="O84" s="178"/>
      <c r="P84" s="178"/>
      <c r="Q84" s="178"/>
      <c r="R84" s="178"/>
      <c r="S84" s="178"/>
      <c r="T84" s="178"/>
      <c r="U84" s="178"/>
      <c r="V84" s="178"/>
      <c r="W84" s="178"/>
      <c r="X84" s="178"/>
      <c r="Y84" s="178"/>
      <c r="Z84" s="178"/>
    </row>
    <row r="85" spans="2:26">
      <c r="B85" s="178"/>
      <c r="C85" s="177"/>
      <c r="D85" s="177"/>
      <c r="E85" s="177"/>
      <c r="F85" s="177"/>
      <c r="G85" s="178"/>
      <c r="H85" s="178"/>
      <c r="I85" s="178"/>
      <c r="J85" s="178"/>
      <c r="K85" s="178"/>
      <c r="L85" s="178"/>
      <c r="M85" s="198"/>
      <c r="N85" s="180"/>
      <c r="O85" s="178"/>
      <c r="P85" s="178"/>
      <c r="Q85" s="178"/>
      <c r="R85" s="178"/>
      <c r="S85" s="178"/>
      <c r="T85" s="178"/>
      <c r="U85" s="178"/>
      <c r="V85" s="178"/>
      <c r="W85" s="178"/>
      <c r="X85" s="178"/>
      <c r="Y85" s="178"/>
      <c r="Z85" s="178"/>
    </row>
    <row r="86" spans="2:26" ht="15.75">
      <c r="B86" s="176" t="s">
        <v>83</v>
      </c>
      <c r="C86" s="177"/>
      <c r="D86" s="177"/>
      <c r="E86" s="177"/>
      <c r="F86" s="177"/>
      <c r="G86" s="178"/>
      <c r="H86" s="178"/>
      <c r="I86" s="178"/>
      <c r="J86" s="178"/>
      <c r="K86" s="178"/>
      <c r="L86" s="178"/>
      <c r="M86" s="198"/>
      <c r="N86" s="180"/>
      <c r="O86" s="178"/>
      <c r="P86" s="178"/>
      <c r="Q86" s="178"/>
      <c r="R86" s="178"/>
      <c r="S86" s="178"/>
      <c r="T86" s="178"/>
      <c r="U86" s="178"/>
      <c r="V86" s="178"/>
      <c r="W86" s="178"/>
      <c r="X86" s="178"/>
      <c r="Y86" s="178"/>
      <c r="Z86" s="178"/>
    </row>
    <row r="87" spans="2:26" ht="15.75">
      <c r="B87" s="181" t="s">
        <v>242</v>
      </c>
      <c r="C87" s="177">
        <v>0</v>
      </c>
      <c r="D87" s="177">
        <v>100000</v>
      </c>
      <c r="E87" s="177">
        <f>SUM(C87:D87)</f>
        <v>100000</v>
      </c>
      <c r="F87" s="177">
        <v>0</v>
      </c>
      <c r="G87" s="178"/>
      <c r="H87" s="178"/>
      <c r="I87" s="178"/>
      <c r="J87" s="178"/>
      <c r="K87" s="178"/>
      <c r="L87" s="178"/>
      <c r="M87" s="198"/>
      <c r="N87" s="180"/>
      <c r="O87" s="178"/>
      <c r="P87" s="178"/>
      <c r="Q87" s="178"/>
      <c r="R87" s="178"/>
      <c r="S87" s="178"/>
      <c r="T87" s="178"/>
      <c r="U87" s="178"/>
      <c r="V87" s="178"/>
      <c r="W87" s="178"/>
      <c r="X87" s="178"/>
      <c r="Y87" s="178"/>
      <c r="Z87" s="178"/>
    </row>
    <row r="88" spans="2:26" ht="15.75">
      <c r="B88" s="181" t="s">
        <v>243</v>
      </c>
      <c r="C88" s="177">
        <v>0</v>
      </c>
      <c r="D88" s="177">
        <v>0</v>
      </c>
      <c r="E88" s="177">
        <f t="shared" ref="E88:E89" si="21">SUM(C88:D88)</f>
        <v>0</v>
      </c>
      <c r="F88" s="177">
        <v>180000</v>
      </c>
      <c r="G88" s="178"/>
      <c r="H88" s="178"/>
      <c r="I88" s="178"/>
      <c r="J88" s="178"/>
      <c r="K88" s="178"/>
      <c r="L88" s="178"/>
      <c r="M88" s="199"/>
      <c r="N88" s="180"/>
      <c r="O88" s="178"/>
      <c r="P88" s="178"/>
      <c r="Q88" s="178"/>
      <c r="R88" s="178"/>
      <c r="S88" s="178"/>
      <c r="T88" s="178"/>
      <c r="U88" s="178"/>
      <c r="V88" s="178"/>
      <c r="W88" s="178"/>
      <c r="X88" s="178"/>
      <c r="Y88" s="178"/>
      <c r="Z88" s="178"/>
    </row>
    <row r="89" spans="2:26" ht="15.75">
      <c r="B89" s="181" t="s">
        <v>180</v>
      </c>
      <c r="C89" s="177">
        <v>5000</v>
      </c>
      <c r="D89" s="177">
        <v>0</v>
      </c>
      <c r="E89" s="177">
        <f t="shared" si="21"/>
        <v>5000</v>
      </c>
      <c r="F89" s="177">
        <v>0</v>
      </c>
      <c r="G89" s="178"/>
      <c r="H89" s="178"/>
      <c r="I89" s="178"/>
      <c r="J89" s="178"/>
      <c r="K89" s="178"/>
      <c r="L89" s="178"/>
      <c r="M89" s="198"/>
      <c r="N89" s="180"/>
      <c r="O89" s="178"/>
      <c r="P89" s="178"/>
      <c r="Q89" s="178"/>
      <c r="R89" s="178"/>
      <c r="S89" s="178"/>
      <c r="T89" s="178"/>
      <c r="U89" s="178"/>
      <c r="V89" s="178"/>
      <c r="W89" s="178"/>
      <c r="X89" s="178"/>
      <c r="Y89" s="178"/>
      <c r="Z89" s="178"/>
    </row>
    <row r="90" spans="2:26" ht="15.75">
      <c r="B90" s="176" t="str">
        <f>CONCATENATE("Subtotal ",B86)</f>
        <v>Subtotal RTF Management</v>
      </c>
      <c r="C90" s="182">
        <f t="shared" ref="C90:D90" si="22">SUM(C87:C89)</f>
        <v>5000</v>
      </c>
      <c r="D90" s="182">
        <f t="shared" si="22"/>
        <v>100000</v>
      </c>
      <c r="E90" s="182">
        <f>SUM(E87:E89)</f>
        <v>105000</v>
      </c>
      <c r="F90" s="182">
        <f>SUM(F87:F89)</f>
        <v>180000</v>
      </c>
      <c r="G90" s="178"/>
      <c r="H90" s="178"/>
      <c r="I90" s="178"/>
      <c r="J90" s="178"/>
      <c r="K90" s="178"/>
      <c r="L90" s="178"/>
      <c r="M90" s="198"/>
      <c r="N90" s="180"/>
      <c r="O90" s="178"/>
      <c r="P90" s="178"/>
      <c r="Q90" s="178"/>
      <c r="R90" s="178"/>
      <c r="S90" s="178"/>
      <c r="T90" s="178"/>
      <c r="U90" s="178"/>
      <c r="V90" s="178"/>
      <c r="W90" s="178"/>
      <c r="X90" s="178"/>
      <c r="Y90" s="178"/>
      <c r="Z90" s="178"/>
    </row>
    <row r="91" spans="2:26">
      <c r="B91" s="178"/>
      <c r="C91" s="178"/>
      <c r="D91" s="178"/>
      <c r="E91" s="178"/>
      <c r="F91" s="178"/>
      <c r="G91" s="178"/>
      <c r="H91" s="178"/>
      <c r="I91" s="178"/>
      <c r="J91" s="178"/>
      <c r="K91" s="178"/>
      <c r="L91" s="178"/>
      <c r="M91" s="198"/>
      <c r="N91" s="180"/>
      <c r="O91" s="178"/>
      <c r="P91" s="178"/>
      <c r="Q91" s="178"/>
      <c r="R91" s="178"/>
      <c r="S91" s="178"/>
      <c r="T91" s="178"/>
      <c r="U91" s="178"/>
      <c r="V91" s="178"/>
      <c r="W91" s="178"/>
      <c r="X91" s="178"/>
      <c r="Y91" s="178"/>
      <c r="Z91" s="178"/>
    </row>
    <row r="92" spans="2:26">
      <c r="M92" s="9"/>
    </row>
    <row r="93" spans="2:26" ht="15.75">
      <c r="B93" s="174" t="s">
        <v>49</v>
      </c>
      <c r="C93" s="200">
        <f>SUM(C14,C25,C38,C53,C61,C70,C77,C83,C90)</f>
        <v>1017000</v>
      </c>
      <c r="D93" s="200">
        <f>SUM(D14,D25,D38,D53,D61,D70,D77,D83,D90)</f>
        <v>483000</v>
      </c>
      <c r="E93" s="200">
        <f>SUM(E14,E25,E38,E53,E61,E70,E77,E83,E90)</f>
        <v>1500000</v>
      </c>
      <c r="F93" s="200">
        <f>SUM(F14,F25,F38,F53,F61,F70,F77,F83,F90)</f>
        <v>387000</v>
      </c>
      <c r="G93" s="59"/>
      <c r="H93" s="59"/>
      <c r="I93" s="59"/>
      <c r="J93" s="59"/>
      <c r="K93" s="59"/>
      <c r="L93" s="59"/>
      <c r="M93" s="201"/>
      <c r="N93" s="175"/>
      <c r="O93" s="59"/>
      <c r="P93" s="59"/>
      <c r="Q93" s="59"/>
      <c r="R93" s="59"/>
      <c r="S93" s="59"/>
      <c r="T93" s="59"/>
      <c r="U93" s="59"/>
      <c r="V93" s="59"/>
      <c r="W93" s="59"/>
      <c r="X93" s="59"/>
      <c r="Y93" s="59"/>
      <c r="Z93" s="59"/>
    </row>
    <row r="95" spans="2:26">
      <c r="F95" s="4">
        <f>SUM(F14,F25,F38,F53,F61,)</f>
        <v>138000</v>
      </c>
      <c r="G95" t="s">
        <v>181</v>
      </c>
    </row>
    <row r="96" spans="2:26">
      <c r="F96" s="4">
        <f>SUM(F70,F77,F83,F90)</f>
        <v>249000</v>
      </c>
      <c r="G96" t="s">
        <v>182</v>
      </c>
    </row>
    <row r="98" spans="4:6">
      <c r="D98" s="97">
        <f>D93/240000</f>
        <v>2.0125000000000002</v>
      </c>
      <c r="F98" s="97">
        <f>F93/'NPCC In Kind'!E4</f>
        <v>2.4187500000000002</v>
      </c>
    </row>
    <row r="99" spans="4:6">
      <c r="D99" s="97" t="s">
        <v>56</v>
      </c>
      <c r="F99" s="97" t="s">
        <v>56</v>
      </c>
    </row>
    <row r="101" spans="4:6">
      <c r="D101">
        <f>2.5*240000</f>
        <v>600000</v>
      </c>
    </row>
    <row r="102" spans="4:6">
      <c r="D102" s="4">
        <f>D101-D93</f>
        <v>117000</v>
      </c>
    </row>
  </sheetData>
  <mergeCells count="1">
    <mergeCell ref="H7:K7"/>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Table of Contents</vt:lpstr>
      <vt:lpstr>Category (2012)</vt:lpstr>
      <vt:lpstr>Category Detail (2012)</vt:lpstr>
      <vt:lpstr>Category (2012-2014)</vt:lpstr>
      <vt:lpstr>NPCC In Kind</vt:lpstr>
      <vt:lpstr>Typical Rates</vt:lpstr>
      <vt:lpstr>Funding Shares</vt:lpstr>
      <vt:lpstr>Category Detail (Final Nov)</vt:lpstr>
      <vt:lpstr>Category Detail (2012 Initial)</vt:lpstr>
      <vt:lpstr>Compare Detail 2012</vt:lpstr>
      <vt:lpstr>'NPCC In Kind'!Print_Area</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Charlie Grist</cp:lastModifiedBy>
  <dcterms:created xsi:type="dcterms:W3CDTF">2010-11-30T20:23:00Z</dcterms:created>
  <dcterms:modified xsi:type="dcterms:W3CDTF">2012-03-06T17:40:42Z</dcterms:modified>
</cp:coreProperties>
</file>