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autoCompressPictures="0" defaultThemeVersion="124226"/>
  <mc:AlternateContent xmlns:mc="http://schemas.openxmlformats.org/markup-compatibility/2006">
    <mc:Choice Requires="x15">
      <x15ac:absPath xmlns:x15ac="http://schemas.microsoft.com/office/spreadsheetml/2010/11/ac" url="Q:\RTF\Administrative\Accounting\2018\Work Plan\"/>
    </mc:Choice>
  </mc:AlternateContent>
  <bookViews>
    <workbookView xWindow="27870" yWindow="-15" windowWidth="28440" windowHeight="12495" tabRatio="818"/>
  </bookViews>
  <sheets>
    <sheet name="Table of Contents" sheetId="9" r:id="rId1"/>
    <sheet name="Category (2018)" sheetId="14" r:id="rId2"/>
    <sheet name="Category Detail (2018)" sheetId="13" r:id="rId3"/>
    <sheet name="Category (2015-2019)" sheetId="16" r:id="rId4"/>
    <sheet name="NPCC In Kind" sheetId="6" r:id="rId5"/>
    <sheet name="Funding Shares" sheetId="15" r:id="rId6"/>
    <sheet name="Typical Rates" sheetId="5" r:id="rId7"/>
  </sheets>
  <externalReferences>
    <externalReference r:id="rId8"/>
  </externalReferences>
  <definedNames>
    <definedName name="_xlnm.Print_Area" localSheetId="4">'NPCC In Kind'!$AS$4:$AY$24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O35" i="5" l="1"/>
  <c r="E47" i="13"/>
  <c r="B49" i="13"/>
  <c r="L24" i="6" l="1"/>
  <c r="K24" i="6"/>
  <c r="M21" i="6"/>
  <c r="L20" i="6"/>
  <c r="K20" i="6"/>
  <c r="M19" i="6"/>
  <c r="M18" i="6"/>
  <c r="M17" i="6"/>
  <c r="M16" i="6"/>
  <c r="M15" i="6"/>
  <c r="M14" i="6"/>
  <c r="M13" i="6"/>
  <c r="M12" i="6"/>
  <c r="M11" i="6"/>
  <c r="M10" i="6"/>
  <c r="M9" i="6"/>
  <c r="M8" i="6"/>
  <c r="M7" i="6"/>
  <c r="M24" i="6" s="1"/>
  <c r="C36" i="16"/>
  <c r="C19" i="16"/>
  <c r="P123" i="14"/>
  <c r="B85" i="13"/>
  <c r="E45" i="13"/>
  <c r="E46" i="13"/>
  <c r="E71" i="13"/>
  <c r="M20" i="6" l="1"/>
  <c r="L4" i="6" l="1"/>
  <c r="D70" i="13"/>
  <c r="D69" i="13"/>
  <c r="D68" i="13"/>
  <c r="D67" i="13"/>
  <c r="D66" i="13"/>
  <c r="D65" i="13"/>
  <c r="E65" i="13"/>
  <c r="P33" i="5" l="1"/>
  <c r="P32" i="5"/>
  <c r="P29" i="5"/>
  <c r="P30" i="5"/>
  <c r="P31" i="5"/>
  <c r="P28" i="5"/>
  <c r="P34" i="5" l="1"/>
  <c r="E39" i="13"/>
  <c r="E40" i="13" s="1"/>
  <c r="A40" i="13"/>
  <c r="B40" i="13"/>
  <c r="C40" i="13"/>
  <c r="D40" i="13"/>
  <c r="F40" i="13"/>
  <c r="AQ9" i="14"/>
  <c r="AP9" i="14"/>
  <c r="AP8" i="14"/>
  <c r="AQ8" i="14"/>
  <c r="Y6" i="14"/>
  <c r="D72" i="13" l="1"/>
  <c r="F55" i="13"/>
  <c r="G21" i="6"/>
  <c r="E24" i="6"/>
  <c r="R26" i="6"/>
  <c r="Q26" i="6"/>
  <c r="S23" i="6"/>
  <c r="R22" i="6"/>
  <c r="Q22" i="6"/>
  <c r="S21" i="6"/>
  <c r="S20" i="6"/>
  <c r="S19" i="6"/>
  <c r="S18" i="6"/>
  <c r="S17" i="6"/>
  <c r="S16" i="6"/>
  <c r="S15" i="6"/>
  <c r="S14" i="6"/>
  <c r="S13" i="6"/>
  <c r="S12" i="6"/>
  <c r="S11" i="6"/>
  <c r="S10" i="6"/>
  <c r="S9" i="6"/>
  <c r="S8" i="6"/>
  <c r="S7" i="6"/>
  <c r="S26" i="6" l="1"/>
  <c r="S22" i="6"/>
  <c r="R4" i="6" s="1"/>
  <c r="K72" i="13" l="1"/>
  <c r="E70" i="13"/>
  <c r="AA15" i="14" l="1"/>
  <c r="AA12" i="14"/>
  <c r="AA9" i="14"/>
  <c r="AA6" i="14"/>
  <c r="S15" i="14"/>
  <c r="G6" i="15" l="1"/>
  <c r="F6" i="15"/>
  <c r="E6" i="15"/>
  <c r="D6" i="15"/>
  <c r="C6" i="15"/>
  <c r="B10" i="13" l="1"/>
  <c r="E28" i="13"/>
  <c r="E48" i="13"/>
  <c r="F11" i="13"/>
  <c r="B11" i="13"/>
  <c r="C11" i="13"/>
  <c r="D11" i="13"/>
  <c r="E11" i="13" l="1"/>
  <c r="E44" i="13"/>
  <c r="F21" i="13"/>
  <c r="D21" i="13"/>
  <c r="C21" i="13"/>
  <c r="B21" i="13"/>
  <c r="C61" i="13"/>
  <c r="D61" i="13"/>
  <c r="F61" i="13"/>
  <c r="C49" i="13"/>
  <c r="D49" i="13"/>
  <c r="F49" i="13"/>
  <c r="E21" i="13" l="1"/>
  <c r="E49" i="13"/>
  <c r="F13" i="13"/>
  <c r="D13" i="13"/>
  <c r="C13" i="13"/>
  <c r="B13" i="13"/>
  <c r="B83" i="13" s="1"/>
  <c r="F24" i="6"/>
  <c r="F20" i="6"/>
  <c r="E20" i="6"/>
  <c r="G19" i="6"/>
  <c r="G18" i="6"/>
  <c r="G17" i="6"/>
  <c r="G16" i="6"/>
  <c r="G15" i="6"/>
  <c r="G14" i="6"/>
  <c r="G13" i="6"/>
  <c r="G12" i="6"/>
  <c r="G11" i="6"/>
  <c r="G10" i="6"/>
  <c r="G9" i="6"/>
  <c r="G8" i="6"/>
  <c r="G7" i="6"/>
  <c r="AL6" i="16"/>
  <c r="E13" i="13" l="1"/>
  <c r="G24" i="6"/>
  <c r="G20" i="6"/>
  <c r="F4" i="6" s="1"/>
  <c r="AB6" i="14"/>
  <c r="K5" i="16" l="1"/>
  <c r="B61" i="13" l="1"/>
  <c r="F72" i="13"/>
  <c r="B81" i="13" s="1"/>
  <c r="E82" i="13" l="1"/>
  <c r="Y23" i="6"/>
  <c r="Y14" i="6"/>
  <c r="Y11" i="6"/>
  <c r="Y12" i="6"/>
  <c r="E27" i="13" l="1"/>
  <c r="B19" i="13" l="1"/>
  <c r="B20" i="13"/>
  <c r="B29" i="13"/>
  <c r="B35" i="13"/>
  <c r="C9" i="14" s="1"/>
  <c r="X9" i="16" s="1"/>
  <c r="B55" i="13"/>
  <c r="E59" i="13"/>
  <c r="B72" i="13"/>
  <c r="E67" i="13"/>
  <c r="E68" i="13"/>
  <c r="E69" i="13"/>
  <c r="E66" i="13"/>
  <c r="G14" i="14"/>
  <c r="AB14" i="16" s="1"/>
  <c r="C72" i="13"/>
  <c r="F10" i="13"/>
  <c r="C10" i="13"/>
  <c r="D10" i="13"/>
  <c r="C19" i="13"/>
  <c r="D19" i="13"/>
  <c r="C20" i="13"/>
  <c r="D20" i="13"/>
  <c r="C29" i="13"/>
  <c r="D29" i="13"/>
  <c r="E33" i="13"/>
  <c r="E34" i="13"/>
  <c r="E53" i="13"/>
  <c r="E54" i="13"/>
  <c r="E60" i="13"/>
  <c r="F19" i="13"/>
  <c r="F20" i="13"/>
  <c r="F29" i="13"/>
  <c r="F35" i="13"/>
  <c r="C35" i="13"/>
  <c r="C55" i="13"/>
  <c r="W26" i="6"/>
  <c r="W22" i="6"/>
  <c r="F12" i="5"/>
  <c r="X26" i="6"/>
  <c r="X22" i="6"/>
  <c r="Y21" i="6"/>
  <c r="Y20" i="6"/>
  <c r="Y19" i="6"/>
  <c r="Y18" i="6"/>
  <c r="Y17" i="6"/>
  <c r="Y16" i="6"/>
  <c r="Y15" i="6"/>
  <c r="Y13" i="6"/>
  <c r="Y10" i="6"/>
  <c r="Y9" i="6"/>
  <c r="Y8" i="6"/>
  <c r="Y7" i="6"/>
  <c r="D55" i="13"/>
  <c r="D35" i="13"/>
  <c r="L2" i="16"/>
  <c r="B2" i="16"/>
  <c r="S3" i="16"/>
  <c r="AG3" i="16"/>
  <c r="Z3" i="16"/>
  <c r="B48" i="15"/>
  <c r="C46" i="15"/>
  <c r="D46" i="15" s="1"/>
  <c r="C45" i="15"/>
  <c r="D45" i="15"/>
  <c r="C44" i="15"/>
  <c r="D44" i="15" s="1"/>
  <c r="C43" i="15"/>
  <c r="D43" i="15"/>
  <c r="C42" i="15"/>
  <c r="D42" i="15" s="1"/>
  <c r="C41" i="15"/>
  <c r="D41" i="15"/>
  <c r="C40" i="15"/>
  <c r="C39" i="15"/>
  <c r="D39" i="15"/>
  <c r="C38" i="15"/>
  <c r="D38" i="15" s="1"/>
  <c r="C37" i="15"/>
  <c r="D37" i="15"/>
  <c r="C36" i="15"/>
  <c r="D36" i="15" s="1"/>
  <c r="C35" i="15"/>
  <c r="D35" i="15"/>
  <c r="C34" i="15"/>
  <c r="D34" i="15" s="1"/>
  <c r="B29" i="15"/>
  <c r="B25" i="15"/>
  <c r="B26" i="15" s="1"/>
  <c r="B28" i="15" s="1"/>
  <c r="E30" i="15" s="1"/>
  <c r="E13" i="15" s="1"/>
  <c r="B20" i="15"/>
  <c r="D17" i="15" s="1"/>
  <c r="E10" i="15"/>
  <c r="D11" i="15"/>
  <c r="D10" i="15"/>
  <c r="F17" i="15"/>
  <c r="AB12" i="14"/>
  <c r="Z12" i="14"/>
  <c r="Y12" i="14"/>
  <c r="AB9" i="14"/>
  <c r="Z9" i="14"/>
  <c r="Y9" i="14"/>
  <c r="Z6" i="14"/>
  <c r="U15" i="14"/>
  <c r="R15" i="14"/>
  <c r="P125" i="14" s="1"/>
  <c r="Q15" i="14"/>
  <c r="T15" i="14"/>
  <c r="B2" i="14"/>
  <c r="AD25" i="6"/>
  <c r="AD26" i="6" s="1"/>
  <c r="AC25" i="6"/>
  <c r="AC26" i="6" s="1"/>
  <c r="AE19" i="6"/>
  <c r="AD21" i="6"/>
  <c r="AD22" i="6" s="1"/>
  <c r="AC21" i="6"/>
  <c r="AC22" i="6" s="1"/>
  <c r="AE20" i="6"/>
  <c r="AE18" i="6"/>
  <c r="AE17" i="6"/>
  <c r="AE16" i="6"/>
  <c r="AE15" i="6"/>
  <c r="AE14" i="6"/>
  <c r="AE13" i="6"/>
  <c r="AE12" i="6"/>
  <c r="AE11" i="6"/>
  <c r="AE10" i="6"/>
  <c r="AE9" i="6"/>
  <c r="AE8" i="6"/>
  <c r="AE7" i="6"/>
  <c r="AK20" i="6"/>
  <c r="AJ25" i="6"/>
  <c r="AJ26" i="6" s="1"/>
  <c r="AI25" i="6"/>
  <c r="AI26" i="6" s="1"/>
  <c r="AP4" i="6"/>
  <c r="AJ21" i="6"/>
  <c r="AJ22" i="6" s="1"/>
  <c r="AI21" i="6"/>
  <c r="AI22" i="6" s="1"/>
  <c r="A2" i="13"/>
  <c r="A14" i="13"/>
  <c r="A22" i="13"/>
  <c r="A29" i="13"/>
  <c r="A35" i="13"/>
  <c r="A49" i="13"/>
  <c r="A55" i="13"/>
  <c r="A61" i="13"/>
  <c r="A72" i="13"/>
  <c r="B2" i="5"/>
  <c r="B2" i="6"/>
  <c r="F22" i="5"/>
  <c r="F27" i="5" s="1"/>
  <c r="D27" i="5" s="1"/>
  <c r="E27" i="5" s="1"/>
  <c r="G27" i="5" s="1"/>
  <c r="F31" i="5"/>
  <c r="D31" i="5" s="1"/>
  <c r="E31" i="5" s="1"/>
  <c r="G31" i="5" s="1"/>
  <c r="AV20" i="6"/>
  <c r="AV21" i="6" s="1"/>
  <c r="AU20" i="6"/>
  <c r="AU21" i="6" s="1"/>
  <c r="BF19" i="6"/>
  <c r="BD19" i="6"/>
  <c r="BC19" i="6"/>
  <c r="AW19" i="6"/>
  <c r="AK19" i="6"/>
  <c r="AW18" i="6"/>
  <c r="AK18" i="6"/>
  <c r="BE17" i="6"/>
  <c r="AW17" i="6"/>
  <c r="AK17" i="6"/>
  <c r="BE16" i="6"/>
  <c r="AW16" i="6"/>
  <c r="AK16" i="6"/>
  <c r="BE15" i="6"/>
  <c r="AW15" i="6"/>
  <c r="AK15" i="6"/>
  <c r="BE14" i="6"/>
  <c r="AW14" i="6"/>
  <c r="AK14" i="6"/>
  <c r="BE13" i="6"/>
  <c r="AW13" i="6"/>
  <c r="AK13" i="6"/>
  <c r="BE12" i="6"/>
  <c r="AW12" i="6"/>
  <c r="AK12" i="6"/>
  <c r="BE11" i="6"/>
  <c r="AW11" i="6"/>
  <c r="AK11" i="6"/>
  <c r="BE10" i="6"/>
  <c r="AW10" i="6"/>
  <c r="AK10" i="6"/>
  <c r="BE9" i="6"/>
  <c r="AW9" i="6"/>
  <c r="AK9" i="6"/>
  <c r="BE8" i="6"/>
  <c r="AW8" i="6"/>
  <c r="AK8" i="6"/>
  <c r="BE7" i="6"/>
  <c r="AW7" i="6"/>
  <c r="AK7" i="6"/>
  <c r="H16" i="5"/>
  <c r="I16" i="5"/>
  <c r="J16" i="5"/>
  <c r="H17" i="5"/>
  <c r="I17" i="5"/>
  <c r="J17" i="5"/>
  <c r="H18" i="5"/>
  <c r="I18" i="5"/>
  <c r="J18" i="5"/>
  <c r="J15" i="5"/>
  <c r="I15" i="5"/>
  <c r="H15" i="5"/>
  <c r="F16" i="5"/>
  <c r="F17" i="5"/>
  <c r="F18" i="5"/>
  <c r="F15" i="5"/>
  <c r="E16" i="5"/>
  <c r="E17" i="5"/>
  <c r="E18" i="5"/>
  <c r="E15" i="5"/>
  <c r="D16" i="5"/>
  <c r="D17" i="5"/>
  <c r="D18" i="5"/>
  <c r="D15" i="5"/>
  <c r="F5" i="5"/>
  <c r="E5" i="5" s="1"/>
  <c r="D5" i="5" s="1"/>
  <c r="C5" i="5" s="1"/>
  <c r="F7" i="5"/>
  <c r="I7" i="5" s="1"/>
  <c r="J7" i="5" s="1"/>
  <c r="F8" i="5"/>
  <c r="L8" i="5" s="1"/>
  <c r="F9" i="5"/>
  <c r="L9" i="5" s="1"/>
  <c r="F10" i="5"/>
  <c r="I10" i="5" s="1"/>
  <c r="J10" i="5" s="1"/>
  <c r="F11" i="5"/>
  <c r="F6" i="5"/>
  <c r="I6" i="5" s="1"/>
  <c r="J6" i="5" s="1"/>
  <c r="E6" i="5" l="1"/>
  <c r="D6" i="5" s="1"/>
  <c r="C6" i="5" s="1"/>
  <c r="D22" i="5"/>
  <c r="F35" i="5" s="1"/>
  <c r="I11" i="5"/>
  <c r="J11" i="5" s="1"/>
  <c r="E12" i="5"/>
  <c r="D12" i="5" s="1"/>
  <c r="C12" i="5" s="1"/>
  <c r="L12" i="5"/>
  <c r="I12" i="5"/>
  <c r="J12" i="5" s="1"/>
  <c r="L6" i="5"/>
  <c r="N6" i="5" s="1"/>
  <c r="F29" i="5"/>
  <c r="D29" i="5" s="1"/>
  <c r="E29" i="5" s="1"/>
  <c r="G29" i="5" s="1"/>
  <c r="L7" i="5"/>
  <c r="M7" i="5" s="1"/>
  <c r="F26" i="5"/>
  <c r="D26" i="5" s="1"/>
  <c r="E26" i="5" s="1"/>
  <c r="G26" i="5" s="1"/>
  <c r="F24" i="5"/>
  <c r="D24" i="5" s="1"/>
  <c r="E24" i="5" s="1"/>
  <c r="G24" i="5" s="1"/>
  <c r="F37" i="5"/>
  <c r="E7" i="5"/>
  <c r="D7" i="5" s="1"/>
  <c r="C7" i="5" s="1"/>
  <c r="F30" i="5"/>
  <c r="D30" i="5" s="1"/>
  <c r="E30" i="5" s="1"/>
  <c r="G30" i="5" s="1"/>
  <c r="F28" i="5"/>
  <c r="D28" i="5" s="1"/>
  <c r="E28" i="5" s="1"/>
  <c r="G28" i="5" s="1"/>
  <c r="E11" i="5"/>
  <c r="D11" i="5" s="1"/>
  <c r="C11" i="5" s="1"/>
  <c r="L11" i="5"/>
  <c r="F25" i="5"/>
  <c r="D25" i="5" s="1"/>
  <c r="E25" i="5" s="1"/>
  <c r="G25" i="5" s="1"/>
  <c r="F23" i="5"/>
  <c r="D23" i="5" s="1"/>
  <c r="E23" i="5" s="1"/>
  <c r="G23" i="5" s="1"/>
  <c r="M6" i="5"/>
  <c r="E10" i="5"/>
  <c r="D10" i="5" s="1"/>
  <c r="C10" i="5" s="1"/>
  <c r="L10" i="5"/>
  <c r="D48" i="15"/>
  <c r="M9" i="5"/>
  <c r="N9" i="5"/>
  <c r="E9" i="5"/>
  <c r="D9" i="5" s="1"/>
  <c r="C9" i="5" s="1"/>
  <c r="L5" i="5"/>
  <c r="I9" i="5"/>
  <c r="J9" i="5" s="1"/>
  <c r="D16" i="15"/>
  <c r="D8" i="15"/>
  <c r="G14" i="15"/>
  <c r="D19" i="15"/>
  <c r="C48" i="15"/>
  <c r="D7" i="15"/>
  <c r="C7" i="15"/>
  <c r="Y15" i="14"/>
  <c r="AP6" i="14" s="1"/>
  <c r="F15" i="15"/>
  <c r="F18" i="15"/>
  <c r="C8" i="15"/>
  <c r="D15" i="15"/>
  <c r="D18" i="15"/>
  <c r="G30" i="15"/>
  <c r="G13" i="15" s="1"/>
  <c r="I5" i="5"/>
  <c r="J5" i="5" s="1"/>
  <c r="F11" i="15"/>
  <c r="F12" i="15"/>
  <c r="C17" i="15"/>
  <c r="C16" i="15"/>
  <c r="F19" i="15"/>
  <c r="F22" i="13"/>
  <c r="M8" i="5"/>
  <c r="N8" i="5"/>
  <c r="E8" i="5"/>
  <c r="D8" i="5" s="1"/>
  <c r="C8" i="5" s="1"/>
  <c r="I8" i="5"/>
  <c r="J8" i="5" s="1"/>
  <c r="B14" i="13"/>
  <c r="C6" i="14" s="1"/>
  <c r="X6" i="16" s="1"/>
  <c r="C22" i="13"/>
  <c r="E61" i="13"/>
  <c r="D14" i="13"/>
  <c r="B22" i="13"/>
  <c r="F14" i="13"/>
  <c r="D22" i="13"/>
  <c r="C14" i="13"/>
  <c r="Y22" i="6"/>
  <c r="V13" i="14"/>
  <c r="V6" i="14"/>
  <c r="V9" i="14"/>
  <c r="AB15" i="14"/>
  <c r="AC9" i="14" s="1"/>
  <c r="V12" i="14"/>
  <c r="V8" i="14"/>
  <c r="V14" i="14"/>
  <c r="V10" i="14"/>
  <c r="V11" i="14"/>
  <c r="V7" i="14"/>
  <c r="Z15" i="14"/>
  <c r="AP7" i="14" s="1"/>
  <c r="D12" i="15"/>
  <c r="F7" i="15"/>
  <c r="F8" i="15"/>
  <c r="E14" i="15"/>
  <c r="F16" i="15"/>
  <c r="F30" i="15"/>
  <c r="F13" i="15" s="1"/>
  <c r="G7" i="15"/>
  <c r="D9" i="15"/>
  <c r="E17" i="15"/>
  <c r="E7" i="15"/>
  <c r="E55" i="13"/>
  <c r="E12" i="14"/>
  <c r="Z12" i="16" s="1"/>
  <c r="D12" i="14"/>
  <c r="Y12" i="16" s="1"/>
  <c r="G13" i="14"/>
  <c r="AB13" i="16" s="1"/>
  <c r="G9" i="14"/>
  <c r="AB9" i="16" s="1"/>
  <c r="C8" i="14"/>
  <c r="X8" i="16" s="1"/>
  <c r="E11" i="14"/>
  <c r="Z11" i="16" s="1"/>
  <c r="D13" i="14"/>
  <c r="Y13" i="16" s="1"/>
  <c r="D9" i="14"/>
  <c r="Y9" i="16" s="1"/>
  <c r="AA9" i="16" s="1"/>
  <c r="G10" i="14"/>
  <c r="AB10" i="16" s="1"/>
  <c r="D14" i="14"/>
  <c r="Y14" i="16" s="1"/>
  <c r="C10" i="14"/>
  <c r="X10" i="16" s="1"/>
  <c r="AA10" i="16" s="1"/>
  <c r="E10" i="14"/>
  <c r="Z10" i="16" s="1"/>
  <c r="D10" i="14"/>
  <c r="Y10" i="16" s="1"/>
  <c r="G11" i="14"/>
  <c r="AB11" i="16" s="1"/>
  <c r="C11" i="14"/>
  <c r="X11" i="16" s="1"/>
  <c r="E9" i="14"/>
  <c r="Z9" i="16" s="1"/>
  <c r="E13" i="14"/>
  <c r="Z13" i="16" s="1"/>
  <c r="D11" i="14"/>
  <c r="Y11" i="16" s="1"/>
  <c r="G12" i="14"/>
  <c r="AB12" i="16" s="1"/>
  <c r="G8" i="14"/>
  <c r="AB8" i="16" s="1"/>
  <c r="E8" i="14"/>
  <c r="Z8" i="16" s="1"/>
  <c r="C12" i="14"/>
  <c r="X12" i="16" s="1"/>
  <c r="AA12" i="16" s="1"/>
  <c r="C14" i="14"/>
  <c r="X14" i="16" s="1"/>
  <c r="AG2" i="16"/>
  <c r="Z2" i="16"/>
  <c r="S2" i="16"/>
  <c r="AK21" i="6"/>
  <c r="AJ4" i="6" s="1"/>
  <c r="AW20" i="6"/>
  <c r="AX4" i="6" s="1"/>
  <c r="AE21" i="6"/>
  <c r="AD4" i="6" s="1"/>
  <c r="BE19" i="6"/>
  <c r="BF4" i="6" s="1"/>
  <c r="AK25" i="6"/>
  <c r="AK26" i="6" s="1"/>
  <c r="AE25" i="6"/>
  <c r="AE26" i="6" s="1"/>
  <c r="X4" i="6"/>
  <c r="Y26" i="6"/>
  <c r="E26" i="13"/>
  <c r="E29" i="13" s="1"/>
  <c r="E10" i="13"/>
  <c r="E19" i="13"/>
  <c r="E12" i="13"/>
  <c r="E20" i="13"/>
  <c r="E35" i="13"/>
  <c r="E72" i="13"/>
  <c r="E18" i="13"/>
  <c r="C18" i="15"/>
  <c r="G8" i="15"/>
  <c r="G17" i="15"/>
  <c r="C15" i="15"/>
  <c r="C11" i="15"/>
  <c r="E8" i="15"/>
  <c r="G16" i="15"/>
  <c r="C10" i="15"/>
  <c r="E15" i="15"/>
  <c r="E18" i="15"/>
  <c r="G18" i="15"/>
  <c r="E19" i="15"/>
  <c r="C12" i="15"/>
  <c r="C19" i="15"/>
  <c r="G15" i="15"/>
  <c r="G11" i="15"/>
  <c r="C9" i="15"/>
  <c r="G10" i="15"/>
  <c r="C30" i="15"/>
  <c r="E9" i="15"/>
  <c r="H6" i="15"/>
  <c r="D14" i="15"/>
  <c r="F9" i="15"/>
  <c r="F14" i="15"/>
  <c r="C14" i="15"/>
  <c r="G19" i="15"/>
  <c r="E16" i="15"/>
  <c r="E12" i="15"/>
  <c r="G9" i="15"/>
  <c r="F10" i="15"/>
  <c r="G12" i="15"/>
  <c r="D30" i="15"/>
  <c r="D13" i="15" s="1"/>
  <c r="E11" i="15"/>
  <c r="AA11" i="16" l="1"/>
  <c r="AA14" i="16"/>
  <c r="E22" i="5"/>
  <c r="F36" i="5" s="1"/>
  <c r="M12" i="5"/>
  <c r="N12" i="5"/>
  <c r="AC12" i="14"/>
  <c r="G22" i="5"/>
  <c r="M11" i="5"/>
  <c r="N11" i="5"/>
  <c r="N7" i="5"/>
  <c r="N10" i="5"/>
  <c r="M10" i="5"/>
  <c r="AE14" i="16"/>
  <c r="AC6" i="14"/>
  <c r="AE11" i="16"/>
  <c r="AF11" i="16"/>
  <c r="AI11" i="16"/>
  <c r="AE9" i="16"/>
  <c r="AE10" i="16"/>
  <c r="BC20" i="6"/>
  <c r="AG8" i="16"/>
  <c r="AG13" i="16"/>
  <c r="AF14" i="16"/>
  <c r="AF12" i="16"/>
  <c r="AF9" i="16"/>
  <c r="AI8" i="16"/>
  <c r="AG10" i="16"/>
  <c r="AI10" i="16"/>
  <c r="AG12" i="16"/>
  <c r="M5" i="5"/>
  <c r="N5" i="5"/>
  <c r="B82" i="13"/>
  <c r="E22" i="13"/>
  <c r="E14" i="13"/>
  <c r="BG19" i="6"/>
  <c r="AY20" i="6"/>
  <c r="AW21" i="6"/>
  <c r="AE22" i="6"/>
  <c r="AF9" i="14"/>
  <c r="AE9" i="14"/>
  <c r="AE12" i="14"/>
  <c r="AD9" i="14"/>
  <c r="V15" i="14"/>
  <c r="H7" i="15"/>
  <c r="H17" i="15"/>
  <c r="AK9" i="14"/>
  <c r="H8" i="15"/>
  <c r="F12" i="14"/>
  <c r="AJ12" i="14"/>
  <c r="AJ9" i="14"/>
  <c r="F13" i="14"/>
  <c r="AI9" i="14"/>
  <c r="D7" i="14"/>
  <c r="Y7" i="16" s="1"/>
  <c r="F79" i="13"/>
  <c r="E14" i="14"/>
  <c r="Z14" i="16" s="1"/>
  <c r="D8" i="14"/>
  <c r="Y8" i="16" s="1"/>
  <c r="AA8" i="16" s="1"/>
  <c r="E7" i="14"/>
  <c r="Z7" i="16" s="1"/>
  <c r="F10" i="14"/>
  <c r="C13" i="14"/>
  <c r="X13" i="16" s="1"/>
  <c r="AA13" i="16" s="1"/>
  <c r="F11" i="14"/>
  <c r="AL7" i="16"/>
  <c r="D6" i="14"/>
  <c r="Y6" i="16" s="1"/>
  <c r="E6" i="14"/>
  <c r="Z6" i="16" s="1"/>
  <c r="G6" i="14"/>
  <c r="AB6" i="16" s="1"/>
  <c r="AB15" i="16" s="1"/>
  <c r="D20" i="15"/>
  <c r="G7" i="14"/>
  <c r="AB7" i="16" s="1"/>
  <c r="AI12" i="16"/>
  <c r="AI14" i="16"/>
  <c r="AE8" i="16"/>
  <c r="AI13" i="16"/>
  <c r="AE12" i="16"/>
  <c r="AF10" i="16"/>
  <c r="AG9" i="16"/>
  <c r="AG11" i="16"/>
  <c r="AI9" i="16"/>
  <c r="AF13" i="16"/>
  <c r="AK22" i="6"/>
  <c r="BD20" i="6"/>
  <c r="BC21" i="6" s="1"/>
  <c r="BD21" i="6"/>
  <c r="C7" i="14"/>
  <c r="X7" i="16" s="1"/>
  <c r="B75" i="13"/>
  <c r="F9" i="14"/>
  <c r="D75" i="13"/>
  <c r="F14" i="14"/>
  <c r="F75" i="13"/>
  <c r="H16" i="15"/>
  <c r="H14" i="15"/>
  <c r="H19" i="15"/>
  <c r="G20" i="15"/>
  <c r="C75" i="13"/>
  <c r="F78" i="13" s="1"/>
  <c r="C13" i="15"/>
  <c r="H30" i="15"/>
  <c r="F20" i="15"/>
  <c r="F7" i="13" s="1"/>
  <c r="H10" i="15"/>
  <c r="H15" i="15"/>
  <c r="E20" i="15"/>
  <c r="H9" i="15"/>
  <c r="H12" i="15"/>
  <c r="H11" i="15"/>
  <c r="H18" i="15"/>
  <c r="E75" i="13" l="1"/>
  <c r="G40" i="13" s="1"/>
  <c r="AA6" i="16"/>
  <c r="AA7" i="16"/>
  <c r="G16" i="16"/>
  <c r="C32" i="16" s="1"/>
  <c r="F82" i="13"/>
  <c r="AC15" i="14"/>
  <c r="AI6" i="16"/>
  <c r="AH11" i="16"/>
  <c r="AF8" i="16"/>
  <c r="AH12" i="16"/>
  <c r="AH9" i="16"/>
  <c r="AM7" i="16" s="1"/>
  <c r="AE13" i="16"/>
  <c r="AG14" i="16"/>
  <c r="AH13" i="16"/>
  <c r="AH14" i="16"/>
  <c r="AE7" i="16"/>
  <c r="AG7" i="16"/>
  <c r="AF7" i="16"/>
  <c r="E81" i="13"/>
  <c r="E80" i="13" s="1"/>
  <c r="F80" i="13" s="1"/>
  <c r="AF6" i="14"/>
  <c r="K15" i="14"/>
  <c r="AD6" i="14"/>
  <c r="AI6" i="14"/>
  <c r="AE6" i="14"/>
  <c r="AG12" i="14"/>
  <c r="AG9" i="14"/>
  <c r="AI12" i="14"/>
  <c r="AD12" i="14"/>
  <c r="AK12" i="14"/>
  <c r="AF12" i="14"/>
  <c r="N15" i="14"/>
  <c r="C45" i="16"/>
  <c r="C44" i="16"/>
  <c r="AL9" i="16"/>
  <c r="AL12" i="14"/>
  <c r="K15" i="16"/>
  <c r="AJ6" i="14"/>
  <c r="AJ15" i="14" s="1"/>
  <c r="AR7" i="14" s="1"/>
  <c r="F6" i="14"/>
  <c r="AL8" i="16"/>
  <c r="AH10" i="16"/>
  <c r="F7" i="14"/>
  <c r="F8" i="14"/>
  <c r="D15" i="16"/>
  <c r="D19" i="16" s="1"/>
  <c r="C28" i="16" s="1"/>
  <c r="C37" i="16"/>
  <c r="D15" i="14"/>
  <c r="AL9" i="14"/>
  <c r="E15" i="14"/>
  <c r="AF6" i="16"/>
  <c r="J15" i="16"/>
  <c r="C20" i="16" s="1"/>
  <c r="D27" i="16" s="1"/>
  <c r="C15" i="16"/>
  <c r="AK6" i="14"/>
  <c r="E15" i="16"/>
  <c r="E19" i="16" s="1"/>
  <c r="C29" i="16" s="1"/>
  <c r="G15" i="14"/>
  <c r="C38" i="16"/>
  <c r="G15" i="16"/>
  <c r="G19" i="16" s="1"/>
  <c r="C31" i="16" s="1"/>
  <c r="D45" i="16"/>
  <c r="D38" i="16"/>
  <c r="C15" i="14"/>
  <c r="R123" i="14" s="1"/>
  <c r="B84" i="13"/>
  <c r="D16" i="16" s="1"/>
  <c r="H13" i="15"/>
  <c r="H20" i="15" s="1"/>
  <c r="C20" i="15"/>
  <c r="F36" i="16" l="1"/>
  <c r="AF15" i="14"/>
  <c r="AM9" i="16"/>
  <c r="AM8" i="16"/>
  <c r="AN8" i="16" s="1"/>
  <c r="AH8" i="16"/>
  <c r="AH6" i="16"/>
  <c r="C27" i="16"/>
  <c r="D20" i="16"/>
  <c r="D28" i="16" s="1"/>
  <c r="K16" i="16"/>
  <c r="Q15" i="16"/>
  <c r="C21" i="16" s="1"/>
  <c r="E27" i="16" s="1"/>
  <c r="AE6" i="16"/>
  <c r="AE15" i="16" s="1"/>
  <c r="C23" i="16" s="1"/>
  <c r="G27" i="16" s="1"/>
  <c r="X15" i="16"/>
  <c r="C22" i="16" s="1"/>
  <c r="F27" i="16" s="1"/>
  <c r="E7" i="13"/>
  <c r="AI15" i="14"/>
  <c r="AR6" i="14" s="1"/>
  <c r="R125" i="14"/>
  <c r="L15" i="14"/>
  <c r="Q125" i="14" s="1"/>
  <c r="AG6" i="14"/>
  <c r="M15" i="14"/>
  <c r="O7" i="14" s="1"/>
  <c r="AD15" i="14"/>
  <c r="AQ6" i="14" s="1"/>
  <c r="AE15" i="14"/>
  <c r="AQ7" i="14" s="1"/>
  <c r="AK15" i="14"/>
  <c r="J15" i="14"/>
  <c r="Q123" i="14" s="1"/>
  <c r="D44" i="16"/>
  <c r="F15" i="16"/>
  <c r="F19" i="16" s="1"/>
  <c r="C30" i="16" s="1"/>
  <c r="C43" i="16"/>
  <c r="C46" i="16" s="1"/>
  <c r="AL6" i="14"/>
  <c r="AL15" i="14" s="1"/>
  <c r="AM12" i="14" s="1"/>
  <c r="F15" i="14"/>
  <c r="H12" i="14" s="1"/>
  <c r="D43" i="16"/>
  <c r="C39" i="16"/>
  <c r="AL10" i="16"/>
  <c r="D37" i="16"/>
  <c r="R15" i="16"/>
  <c r="L15" i="16"/>
  <c r="E20" i="16" s="1"/>
  <c r="D29" i="16" s="1"/>
  <c r="N15" i="16"/>
  <c r="N16" i="16" s="1"/>
  <c r="E38" i="16"/>
  <c r="E37" i="16"/>
  <c r="E44" i="16"/>
  <c r="F38" i="16"/>
  <c r="Y15" i="16"/>
  <c r="Y16" i="16" s="1"/>
  <c r="E45" i="16"/>
  <c r="G72" i="13"/>
  <c r="B80" i="13"/>
  <c r="B78" i="13"/>
  <c r="G35" i="13"/>
  <c r="G49" i="13"/>
  <c r="G14" i="13"/>
  <c r="G29" i="13"/>
  <c r="G61" i="13"/>
  <c r="G55" i="13"/>
  <c r="G22" i="13"/>
  <c r="B79" i="13"/>
  <c r="D21" i="16" l="1"/>
  <c r="E28" i="16" s="1"/>
  <c r="R16" i="16"/>
  <c r="F81" i="13"/>
  <c r="G7" i="13"/>
  <c r="O6" i="14"/>
  <c r="D46" i="16"/>
  <c r="AR8" i="14"/>
  <c r="AR9" i="14" s="1"/>
  <c r="O13" i="14"/>
  <c r="O9" i="14"/>
  <c r="O11" i="14"/>
  <c r="O14" i="14"/>
  <c r="O12" i="14"/>
  <c r="O10" i="14"/>
  <c r="AG15" i="14"/>
  <c r="O8" i="14"/>
  <c r="AM6" i="14"/>
  <c r="H10" i="14"/>
  <c r="H6" i="14"/>
  <c r="H7" i="14"/>
  <c r="H11" i="14"/>
  <c r="AM9" i="14"/>
  <c r="M15" i="16"/>
  <c r="D36" i="16"/>
  <c r="D39" i="16" s="1"/>
  <c r="H9" i="14"/>
  <c r="H13" i="14"/>
  <c r="H8" i="14"/>
  <c r="H14" i="14"/>
  <c r="S15" i="16"/>
  <c r="S16" i="16" s="1"/>
  <c r="D32" i="16"/>
  <c r="G20" i="16"/>
  <c r="D31" i="16" s="1"/>
  <c r="U15" i="16"/>
  <c r="U16" i="16" s="1"/>
  <c r="F45" i="16"/>
  <c r="AN9" i="16"/>
  <c r="G38" i="16"/>
  <c r="D22" i="16"/>
  <c r="F28" i="16" s="1"/>
  <c r="AF15" i="16"/>
  <c r="AF16" i="16" s="1"/>
  <c r="F44" i="16"/>
  <c r="F37" i="16"/>
  <c r="G75" i="13"/>
  <c r="O15" i="14" l="1"/>
  <c r="AH9" i="14"/>
  <c r="AH12" i="14"/>
  <c r="AH6" i="14"/>
  <c r="AM15" i="14"/>
  <c r="H15" i="14"/>
  <c r="F43" i="16"/>
  <c r="F46" i="16" s="1"/>
  <c r="E36" i="16"/>
  <c r="E39" i="16" s="1"/>
  <c r="T15" i="16"/>
  <c r="D49" i="16"/>
  <c r="F20" i="16"/>
  <c r="D30" i="16" s="1"/>
  <c r="D50" i="16"/>
  <c r="E43" i="16"/>
  <c r="E46" i="16" s="1"/>
  <c r="AG6" i="16"/>
  <c r="AG15" i="16" s="1"/>
  <c r="AG16" i="16" s="1"/>
  <c r="Z15" i="16"/>
  <c r="Z16" i="16" s="1"/>
  <c r="E21" i="16"/>
  <c r="E29" i="16" s="1"/>
  <c r="G21" i="16"/>
  <c r="E31" i="16" s="1"/>
  <c r="E32" i="16"/>
  <c r="AI7" i="16"/>
  <c r="AB16" i="16"/>
  <c r="G45" i="16"/>
  <c r="AN7" i="16"/>
  <c r="G37" i="16"/>
  <c r="G44" i="16"/>
  <c r="D23" i="16"/>
  <c r="G28" i="16" s="1"/>
  <c r="AH15" i="14" l="1"/>
  <c r="F21" i="16"/>
  <c r="E30" i="16" s="1"/>
  <c r="E49" i="16"/>
  <c r="E50" i="16"/>
  <c r="AH7" i="16"/>
  <c r="AM6" i="16" s="1"/>
  <c r="AA15" i="16"/>
  <c r="F39" i="16"/>
  <c r="E23" i="16"/>
  <c r="G29" i="16" s="1"/>
  <c r="E22" i="16"/>
  <c r="F29" i="16" s="1"/>
  <c r="G22" i="16"/>
  <c r="F31" i="16" s="1"/>
  <c r="F32" i="16"/>
  <c r="AI15" i="16"/>
  <c r="AI16" i="16" s="1"/>
  <c r="G43" i="16" l="1"/>
  <c r="G46" i="16" s="1"/>
  <c r="G36" i="16"/>
  <c r="G39" i="16" s="1"/>
  <c r="AH15" i="16"/>
  <c r="F49" i="16"/>
  <c r="F22" i="16"/>
  <c r="F30" i="16" s="1"/>
  <c r="F50" i="16"/>
  <c r="G32" i="16"/>
  <c r="G23" i="16"/>
  <c r="G31" i="16" s="1"/>
  <c r="G49" i="16" l="1"/>
  <c r="G50" i="16"/>
  <c r="F23" i="16"/>
  <c r="G30" i="16" s="1"/>
  <c r="AM10" i="16"/>
  <c r="AN6" i="16"/>
  <c r="AN10" i="16" s="1"/>
</calcChain>
</file>

<file path=xl/comments1.xml><?xml version="1.0" encoding="utf-8"?>
<comments xmlns="http://schemas.openxmlformats.org/spreadsheetml/2006/main">
  <authors>
    <author>Nick O'Neil</author>
    <author>Charlie Grist</author>
    <author>Jennifer Anziano</author>
  </authors>
  <commentList>
    <comment ref="E2" authorId="0" shapeId="0">
      <text>
        <r>
          <rPr>
            <b/>
            <sz val="9"/>
            <color indexed="81"/>
            <rFont val="Tahoma"/>
            <family val="2"/>
          </rPr>
          <t>Jennifer Anziano:</t>
        </r>
        <r>
          <rPr>
            <sz val="9"/>
            <color indexed="81"/>
            <rFont val="Tahoma"/>
            <family val="2"/>
          </rPr>
          <t xml:space="preserve">
Updated in 2017 to reflect a rough average of CAT.</t>
        </r>
      </text>
    </comment>
    <comment ref="K2" authorId="0" shapeId="0">
      <text>
        <r>
          <rPr>
            <b/>
            <sz val="9"/>
            <color indexed="81"/>
            <rFont val="Tahoma"/>
            <family val="2"/>
          </rPr>
          <t>Jennifer Anziano:</t>
        </r>
        <r>
          <rPr>
            <sz val="9"/>
            <color indexed="81"/>
            <rFont val="Tahoma"/>
            <family val="2"/>
          </rPr>
          <t xml:space="preserve">
Updated in 2016 to reflect average cost per RTF contract staff (not including RTF manager)</t>
        </r>
      </text>
    </comment>
    <comment ref="Q2" authorId="0" shape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W2" authorId="0" shape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AC2" authorId="1" shapeId="0">
      <text>
        <r>
          <rPr>
            <b/>
            <sz val="9"/>
            <color indexed="81"/>
            <rFont val="Tahoma"/>
            <family val="2"/>
          </rPr>
          <t>Charlie Grist:</t>
        </r>
        <r>
          <rPr>
            <sz val="9"/>
            <color indexed="81"/>
            <rFont val="Tahoma"/>
            <family val="2"/>
          </rPr>
          <t xml:space="preserve">
Updated estimate from Terry Morlan September 2011</t>
        </r>
      </text>
    </comment>
    <comment ref="AX6" authorId="1" shapeId="0">
      <text>
        <r>
          <rPr>
            <b/>
            <sz val="9"/>
            <color indexed="81"/>
            <rFont val="Tahoma"/>
            <family val="2"/>
          </rPr>
          <t>Charlie Grist:</t>
        </r>
        <r>
          <rPr>
            <sz val="9"/>
            <color indexed="81"/>
            <rFont val="Tahoma"/>
            <family val="2"/>
          </rPr>
          <t xml:space="preserve">
Use average staff rate times overhead multiplier of 1.4 from Sharon Ossmann</t>
        </r>
      </text>
    </comment>
    <comment ref="AX20" authorId="1" shapeId="0">
      <text>
        <r>
          <rPr>
            <b/>
            <sz val="9"/>
            <color indexed="81"/>
            <rFont val="Tahoma"/>
            <family val="2"/>
          </rPr>
          <t>Charlie Grist:</t>
        </r>
        <r>
          <rPr>
            <sz val="9"/>
            <color indexed="81"/>
            <rFont val="Tahoma"/>
            <family val="2"/>
          </rPr>
          <t xml:space="preserve">
Use average staff rate times overhead multiplier of 1.4.</t>
        </r>
      </text>
    </comment>
    <comment ref="G21" authorId="2" shapeId="0">
      <text>
        <r>
          <rPr>
            <b/>
            <sz val="9"/>
            <color indexed="81"/>
            <rFont val="Tahoma"/>
            <family val="2"/>
          </rPr>
          <t>Jennifer Anziano:</t>
        </r>
        <r>
          <rPr>
            <sz val="9"/>
            <color indexed="81"/>
            <rFont val="Tahoma"/>
            <family val="2"/>
          </rPr>
          <t xml:space="preserve">
Council staff plus RTF Manager.</t>
        </r>
      </text>
    </comment>
    <comment ref="M21" authorId="2" shapeId="0">
      <text>
        <r>
          <rPr>
            <b/>
            <sz val="9"/>
            <color indexed="81"/>
            <rFont val="Tahoma"/>
            <family val="2"/>
          </rPr>
          <t>Jennifer Anziano:</t>
        </r>
        <r>
          <rPr>
            <sz val="9"/>
            <color indexed="81"/>
            <rFont val="Tahoma"/>
            <family val="2"/>
          </rPr>
          <t xml:space="preserve">
Council staff plus RTF Manager.</t>
        </r>
      </text>
    </comment>
    <comment ref="S23" authorId="2" shapeId="0">
      <text>
        <r>
          <rPr>
            <b/>
            <sz val="9"/>
            <color indexed="81"/>
            <rFont val="Tahoma"/>
            <family val="2"/>
          </rPr>
          <t>Jennifer Anziano:</t>
        </r>
        <r>
          <rPr>
            <sz val="9"/>
            <color indexed="81"/>
            <rFont val="Tahoma"/>
            <family val="2"/>
          </rPr>
          <t xml:space="preserve">
Council staff plus RTF Manager.</t>
        </r>
      </text>
    </comment>
    <comment ref="Y23" authorId="2" shapeId="0">
      <text>
        <r>
          <rPr>
            <b/>
            <sz val="9"/>
            <color indexed="81"/>
            <rFont val="Tahoma"/>
            <family val="2"/>
          </rPr>
          <t>Jennifer Anziano:</t>
        </r>
        <r>
          <rPr>
            <sz val="9"/>
            <color indexed="81"/>
            <rFont val="Tahoma"/>
            <family val="2"/>
          </rPr>
          <t xml:space="preserve">
Council staff plus RTF Manager.</t>
        </r>
      </text>
    </comment>
    <comment ref="G25" authorId="2" shapeId="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M25" authorId="2" shapeId="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S27" authorId="2" shapeId="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Y27" authorId="2" shapeId="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List>
</comments>
</file>

<file path=xl/sharedStrings.xml><?xml version="1.0" encoding="utf-8"?>
<sst xmlns="http://schemas.openxmlformats.org/spreadsheetml/2006/main" count="761" uniqueCount="330">
  <si>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</si>
  <si>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</si>
  <si>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</si>
  <si>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</si>
  <si>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</si>
  <si>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</si>
  <si>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</si>
  <si>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</si>
  <si>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</si>
  <si>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</si>
  <si>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</si>
  <si>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</si>
  <si>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</si>
  <si>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</si>
  <si>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</si>
  <si>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</si>
  <si>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</si>
  <si>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</si>
  <si>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RTF Member Support &amp; Administration</t>
  </si>
  <si>
    <t>Subtotal New Work</t>
  </si>
  <si>
    <t>1 day/wk</t>
  </si>
  <si>
    <t>2 day/wk</t>
  </si>
  <si>
    <t>1 day/mo</t>
  </si>
  <si>
    <t>2 day/mo</t>
  </si>
  <si>
    <t>3 day/mo</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</si>
  <si>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</si>
  <si>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</si>
  <si>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</si>
  <si>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</si>
  <si>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</si>
  <si>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</si>
  <si>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</si>
  <si>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</si>
  <si>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</si>
  <si>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</si>
  <si>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</si>
  <si>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</si>
  <si>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</si>
  <si>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</si>
  <si>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</si>
  <si>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</si>
  <si>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</si>
  <si>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</si>
  <si>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</si>
  <si>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</si>
  <si>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</si>
  <si>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</si>
  <si>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</si>
  <si>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</si>
  <si>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</si>
  <si>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</si>
  <si>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</si>
  <si>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</si>
  <si>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</si>
  <si>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</si>
  <si>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</si>
  <si>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</si>
  <si>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</si>
  <si>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</si>
  <si>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</si>
  <si>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</si>
  <si>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</si>
  <si>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</si>
  <si>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</si>
  <si>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</si>
  <si>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</si>
  <si>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</si>
  <si>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</si>
  <si>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</si>
  <si>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</si>
  <si>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</si>
  <si>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Technical Work Rates</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</si>
  <si>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</si>
  <si>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</si>
  <si>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</si>
  <si>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</si>
  <si>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</si>
  <si>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</si>
  <si>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</si>
  <si>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</si>
  <si>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</si>
  <si>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</si>
  <si>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</si>
  <si>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</si>
  <si>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</si>
  <si>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</si>
  <si>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</si>
  <si>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Enter Values in these columns for UES/Protocol</t>
  </si>
  <si>
    <t>Cells are linked to worksheet  "Category"</t>
  </si>
  <si>
    <t>Grayed out text for deferred or eliminated work</t>
  </si>
  <si>
    <t>Annual Report</t>
  </si>
  <si>
    <t>Scale Factor</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</si>
  <si>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</si>
  <si>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</si>
  <si>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</si>
  <si>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</si>
  <si>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</si>
  <si>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</si>
  <si>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</si>
  <si>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</si>
  <si>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</si>
  <si>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</si>
  <si>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</si>
  <si>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</si>
  <si>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</si>
  <si>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</si>
  <si>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</si>
  <si>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</si>
  <si>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</si>
  <si>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</si>
  <si>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</si>
  <si>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</si>
  <si>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</si>
  <si>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</si>
  <si>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</si>
  <si>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</si>
  <si>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</si>
  <si>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</si>
  <si>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Funding Shares</t>
  </si>
  <si>
    <t xml:space="preserve">Manage RTF work flow, develop agenda &amp; procedures &amp; budgets &amp; SOWs </t>
  </si>
  <si>
    <t>Michael Schilmoeller</t>
  </si>
  <si>
    <t>Web Site, Databases</t>
  </si>
  <si>
    <t>Northwestern Energy</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</si>
  <si>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</si>
  <si>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</si>
  <si>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</si>
  <si>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</si>
  <si>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</si>
  <si>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</si>
  <si>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</si>
  <si>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</si>
  <si>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</si>
  <si>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 xml:space="preserve">Manage RTF business activities, contracts, financial, bylaws, RTF PAC </t>
  </si>
  <si>
    <t>Develop New Measures for Small &amp; Rural utilities</t>
  </si>
  <si>
    <t>Detail by Category</t>
  </si>
  <si>
    <t>RTF Outreach and Training</t>
  </si>
  <si>
    <t>RTF Meetings, phone, web conference, meeting minutes</t>
  </si>
  <si>
    <t>CY 2015</t>
  </si>
  <si>
    <t xml:space="preserve"> </t>
  </si>
  <si>
    <t>% of total</t>
  </si>
  <si>
    <t>Funding shares by sponsors based on  NEEA formula previously used.  RTF Policy Advisory Committee is considering other funding share options for the future.</t>
  </si>
  <si>
    <t>Sub-section % of total</t>
  </si>
  <si>
    <t>Steve Simmons/Gillian Charles</t>
  </si>
  <si>
    <t>Charlie Black</t>
  </si>
  <si>
    <t>Council Staff (In-Kind)</t>
  </si>
  <si>
    <t>Technical Analysis</t>
  </si>
  <si>
    <t xml:space="preserve">Tool Development, Research, Regional Coordination </t>
  </si>
  <si>
    <t>Administration</t>
  </si>
  <si>
    <t>Contract RFP</t>
  </si>
  <si>
    <t>Nick O'Neil</t>
  </si>
  <si>
    <t>RTF Manager</t>
  </si>
  <si>
    <t>Estimate of NPCC Staff Administration Cost for RTF (2012)</t>
  </si>
  <si>
    <t>RTF Contract Staff</t>
  </si>
  <si>
    <t>CY 2016</t>
  </si>
  <si>
    <t>ProCost: Engine updates and ongoing maintenance</t>
  </si>
  <si>
    <t>Website: Development and Management</t>
  </si>
  <si>
    <t>Review New UES Measures (Either Known or Unsolicited)</t>
  </si>
  <si>
    <t>With RTF Manager as part of RTF funds</t>
  </si>
  <si>
    <t>Estimate of NPCC Staff Administration Cost for RTF (2014)</t>
  </si>
  <si>
    <t>RTF Annual Report</t>
  </si>
  <si>
    <t>RTF Vice Chair (RTF PAC liaison)</t>
  </si>
  <si>
    <t>Aggar Assefa</t>
  </si>
  <si>
    <t>Equivalent Council Staff FTE:</t>
  </si>
  <si>
    <t>QC Contract amount allocated:</t>
  </si>
  <si>
    <t>WORK PLAN METRICS</t>
  </si>
  <si>
    <t>% Split by Allocation (Contract RFP):</t>
  </si>
  <si>
    <t>Council In-Kind workload split (Technical):</t>
  </si>
  <si>
    <t>Council In-Kind workload split (Admin):</t>
  </si>
  <si>
    <t xml:space="preserve">Assumptions used to estimate approximate costs of contractor, and RTF staff work.  Use as a reference.    </t>
  </si>
  <si>
    <t>Category Level Budget &amp; 3-year look back</t>
  </si>
  <si>
    <t>Category (2015-2019)</t>
  </si>
  <si>
    <t>Carol Winkel</t>
  </si>
  <si>
    <t>2015-2019 Funding Level</t>
  </si>
  <si>
    <t xml:space="preserve">NEEA Funding Allocation (as of May 2014) </t>
  </si>
  <si>
    <t>Share of RTF Budget (rounded)**</t>
  </si>
  <si>
    <t>PacifiCorp (Washington)</t>
  </si>
  <si>
    <t>PUD No 1 of Clark County</t>
  </si>
  <si>
    <t>Snohomish County PUD</t>
  </si>
  <si>
    <t>Eugene Water and Electric</t>
  </si>
  <si>
    <t>PUD No 1 of Cowlitz County</t>
  </si>
  <si>
    <t>* Northwestern's contribution adjusted to reflect Western MT contribution to RTF only at 52% of NEEA Funding.</t>
  </si>
  <si>
    <t>NorthWestern Funding</t>
  </si>
  <si>
    <t>2010-2014</t>
  </si>
  <si>
    <t>2010-2014 Funding Share</t>
  </si>
  <si>
    <t>2010-2014 expected RTF contribution</t>
  </si>
  <si>
    <t>2010-2014 Actual RTF Contribution</t>
  </si>
  <si>
    <t>Percent difference from expected</t>
  </si>
  <si>
    <t>2015-2019 Funding Share</t>
  </si>
  <si>
    <t>2015-2019 RTF Contribution</t>
  </si>
  <si>
    <t>2012-2014 Funding Level</t>
  </si>
  <si>
    <t>Wage + Inflation Rate:</t>
  </si>
  <si>
    <t>Inflation Rate:</t>
  </si>
  <si>
    <t>Projection Calendar 2019</t>
  </si>
  <si>
    <t>Major RTF Functions</t>
  </si>
  <si>
    <t>2019 Cost</t>
  </si>
  <si>
    <t>Net Change</t>
  </si>
  <si>
    <t>Measure Updates and New Development</t>
  </si>
  <si>
    <t>Regional Research Coordination</t>
  </si>
  <si>
    <t>RTF Base Operations</t>
  </si>
  <si>
    <t>CY 2017</t>
  </si>
  <si>
    <t>CY 2018</t>
  </si>
  <si>
    <t>CY 2019</t>
  </si>
  <si>
    <t>Total Funding Increase</t>
  </si>
  <si>
    <t>Annual increase year to year</t>
  </si>
  <si>
    <t>Five year work plan by category.  No detail for out years.  Uses scaling factors for category level totals.</t>
  </si>
  <si>
    <t>PAC APPROVED FUNDING LEVELS MAY, 2014</t>
  </si>
  <si>
    <t>Budget Category Detail Worksheet for 2015</t>
  </si>
  <si>
    <t>Contract Analyst Team</t>
  </si>
  <si>
    <t>RTF Manager cost per unit</t>
  </si>
  <si>
    <t>Contract Analyst Team cost per unit</t>
  </si>
  <si>
    <t>Jennifer Anziano</t>
  </si>
  <si>
    <t>Estimate of NPCC Staff Administration Cost for RTF (2015)</t>
  </si>
  <si>
    <t>ESTIMATOR</t>
  </si>
  <si>
    <t>Tina Jayaweera</t>
  </si>
  <si>
    <t xml:space="preserve">Division Director </t>
  </si>
  <si>
    <t>RTF Chair (RTF PAC liaison)</t>
  </si>
  <si>
    <t>Council InKind</t>
  </si>
  <si>
    <t>Remaining</t>
  </si>
  <si>
    <t>Available</t>
  </si>
  <si>
    <t>Team</t>
  </si>
  <si>
    <t>Travel</t>
  </si>
  <si>
    <t>% Split by Allocation (Contract Analyst Team):</t>
  </si>
  <si>
    <t>% Split by Allocation (RTF Manager):</t>
  </si>
  <si>
    <t>SEEM: Ongoing Maintenance and Other Updates</t>
  </si>
  <si>
    <t>New Efficiency Hire</t>
  </si>
  <si>
    <t>Trina Gerlack</t>
  </si>
  <si>
    <t>Contract Analyst Team and RTF Manager</t>
  </si>
  <si>
    <t>Standard Information Workbook updates</t>
  </si>
  <si>
    <t>Equivalent Contract Analyst FTE:</t>
  </si>
  <si>
    <t>Category Level Budget for 2015-2019</t>
  </si>
  <si>
    <t>Annual increase from 2015 base year</t>
  </si>
  <si>
    <t>** All funding shares adjusted by 100%/99.03% because Chelan county present in NEEA funding, but not RTF funding.</t>
  </si>
  <si>
    <t>Contract RFP
2016</t>
  </si>
  <si>
    <t>RTF Manager 2016</t>
  </si>
  <si>
    <t>Subtotal Funders 
2016</t>
  </si>
  <si>
    <t>Contract Analysts</t>
  </si>
  <si>
    <t>RTF Contract Analyst Team 
2016</t>
  </si>
  <si>
    <t>Approved Calendar 2015</t>
  </si>
  <si>
    <t>Estimate of NPCC Staff Administration Cost for RTF (2016)</t>
  </si>
  <si>
    <t>Conservation Analyst</t>
  </si>
  <si>
    <t>Kevin Smith</t>
  </si>
  <si>
    <t>QA/QC review of existing measures updates</t>
  </si>
  <si>
    <t>QA/QC review of new measure development</t>
  </si>
  <si>
    <t>Review,  Analytical, and Subcommittee Support</t>
  </si>
  <si>
    <t>Annual Regional Conservation Progress Report</t>
  </si>
  <si>
    <t>Regional Coordination (Research and Data Development)</t>
  </si>
  <si>
    <t>merged with Category below</t>
  </si>
  <si>
    <t>Coordination and review across measures</t>
  </si>
  <si>
    <t>Much of this work relates to regional coordination and research. Merged these two categories going forward.</t>
  </si>
  <si>
    <t>Guidelines review and updates</t>
  </si>
  <si>
    <t>RTF Manager time spent reviewing work products and engaging with subcommittees</t>
  </si>
  <si>
    <t>RTF Manager time spent on improving general RTF processes</t>
  </si>
  <si>
    <t>Assumes contracting out most of data analysis, some contract analyst support (~2.5 weeks for one analyst)</t>
  </si>
  <si>
    <t>n/a</t>
  </si>
  <si>
    <t>Increase for general meeting costs, management expenses (Manager wage + inflation, minutes taking, training) and updates to website and database structure.</t>
  </si>
  <si>
    <t>RTF Meetings and Member Support</t>
  </si>
  <si>
    <t>Approved 2016</t>
  </si>
  <si>
    <t>Contract RFP
2017</t>
  </si>
  <si>
    <t>RTF Contract Analyst Team 
2017</t>
  </si>
  <si>
    <t>RTF Manager 2017</t>
  </si>
  <si>
    <t>Subtotal Funders 
2017</t>
  </si>
  <si>
    <t>Council In-Kind Contribution 2017</t>
  </si>
  <si>
    <t>Advance non-Proven Measures and Standard Protocols</t>
  </si>
  <si>
    <t>Review New SPs or Impact Evaluation Guidance  (Either Known or Unsolicited)</t>
  </si>
  <si>
    <t>RTF/Council Coordination</t>
  </si>
  <si>
    <t>Council meetings and other coordination with broader Council efforts</t>
  </si>
  <si>
    <t>PAC materials preparation, contract and task order development, various business activities. Contract for Audit.</t>
  </si>
  <si>
    <t xml:space="preserve">Market Analysis Research </t>
  </si>
  <si>
    <t>Minutes $25K, phone/web conference $4K, Lunches $6K. Council in-kind for member support during meetings.</t>
  </si>
  <si>
    <t>Guidelines training, webinars, presentations related to RTF matters. Minimal contract analyst support</t>
  </si>
  <si>
    <t>Target</t>
  </si>
  <si>
    <t>Estimate of NPCC Staff Administration Cost for RTF (2017)</t>
  </si>
  <si>
    <t>Tom Eckman/Interim</t>
  </si>
  <si>
    <t>Jennifer Light</t>
  </si>
  <si>
    <t>RTF Manager, RTF Chair</t>
  </si>
  <si>
    <t>Garrett Herndon</t>
  </si>
  <si>
    <t>Assumes minimal support of ongoing website maintenance/updates; Council in-kind support does most</t>
  </si>
  <si>
    <t>SRR subcommittee is searching for potential measures and may conduct some research looking at other regions. Includes limited support of RTF assistant and manager and contract analyst support for any measure development.</t>
  </si>
  <si>
    <t>Few SEEM related measures in 2017. Don't anticipate need for support at this time.</t>
  </si>
  <si>
    <t>Category (2018)</t>
  </si>
  <si>
    <t>Category-level budget for 2018.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</si>
  <si>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Category Detail (2018)</t>
  </si>
  <si>
    <t>Detailed budget for 2018.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</si>
  <si>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Approved 2017</t>
  </si>
  <si>
    <t>Proposed 2018</t>
  </si>
  <si>
    <t>Christian</t>
  </si>
  <si>
    <t>Ryan</t>
  </si>
  <si>
    <t>Adam</t>
  </si>
  <si>
    <t>Josh</t>
  </si>
  <si>
    <t>CAT 1</t>
  </si>
  <si>
    <t>CAT 2</t>
  </si>
  <si>
    <t>Development of Annual Report</t>
  </si>
  <si>
    <t>Update Active UES Measures slated to sunset in 2018</t>
  </si>
  <si>
    <t>Update Standard Protocols slated to sunset in 2018</t>
  </si>
  <si>
    <t>1 SP sunsets at beginning 2018, some work advanced in 2017. Assumes contract analysts do most of the work.</t>
  </si>
  <si>
    <t>Assume 40% of CAT time to support advancement of research strategies and plans across measures.</t>
  </si>
  <si>
    <t>Assumes average of $3,500 per review. Not all measures addressed will require QC review (no changes to workbooks, etc). Placeholder for 20.</t>
  </si>
  <si>
    <t>Assume placeholder for 5. Non-Res Lighting New Construction and secondary glazing systems started in 2017. Potential work on SEM, whole building performance.</t>
  </si>
  <si>
    <t>Assumes not all measures get developed or require QA/QC review. Assumes $3500 per review.</t>
  </si>
  <si>
    <t>10% of dedicated analyst, plus other CAT coordination. RTF Manager coordination accounted for below.</t>
  </si>
  <si>
    <t>Assums 10% of CAT meeting time and internal review of each others measures.</t>
  </si>
  <si>
    <t>Assumes approx. 1 month 1 analysts time. Limited QA/QC Review</t>
  </si>
  <si>
    <t>Statistical Methods Support</t>
  </si>
  <si>
    <t>Assume placeholder for 5. (DHP for MF, Add. pool pump applications, LESA, aerators, others). Assumes contract analysts do much of the work.</t>
  </si>
  <si>
    <t>Engagement in Load Profile Research</t>
  </si>
  <si>
    <t xml:space="preserve">General task order for review of material relative to Guidelines and development of Guidelines updates as required. Assumes about one month of analyst time. </t>
  </si>
  <si>
    <t>RTF Members and Contract Analyst RTF Meeting Participation Travel</t>
  </si>
  <si>
    <t>RTF member support for meetings, travel, and specific project reviews; based on past years with some adder for more member support, Assumes 5% of analyst time plus some travel</t>
  </si>
  <si>
    <t>Proposed Calendar 2018</t>
  </si>
  <si>
    <t>Fewer measures expected 2017 despite Federal standards. Increase of measures in 2018 and 2019, but not back to 2015 levels.</t>
  </si>
  <si>
    <t>Drop in 2017 to account for minimal SEEM work. Procost remains relatively steady.</t>
  </si>
  <si>
    <t>Increased focus on regional coordination and cross-cutting research topics, such as market analysis and statistical methods.</t>
  </si>
  <si>
    <t>Estimate of NPCC Staff Administration Cost for RTF (2018)</t>
  </si>
  <si>
    <t>Ben Kujala</t>
  </si>
  <si>
    <t>Council Staff In Kind Contribution
2016</t>
  </si>
  <si>
    <t>Contract RFP
2018</t>
  </si>
  <si>
    <t>RTF Contract Analyst Team 
2018</t>
  </si>
  <si>
    <t>RTF Manager 2018</t>
  </si>
  <si>
    <t>Subtotal Funders 
2018</t>
  </si>
  <si>
    <t>Council In-Kind Contribution 2018</t>
  </si>
  <si>
    <t>Total New Work</t>
  </si>
  <si>
    <t>Average</t>
  </si>
  <si>
    <t>Mid-Term Assessment and Eigth Plan Development Support</t>
  </si>
  <si>
    <t>Assumes approx 10 percent of 2 contract analyst time. This includes enhancments for estimating capacity benefits of energy efficiency.</t>
  </si>
  <si>
    <t xml:space="preserve">Cross cutting support of statistical methods questions that support RTF analysis. Assumes 10% each of 2 dedicated contract analysts. </t>
  </si>
  <si>
    <t xml:space="preserve">Enhancements to RTF load profiles, including coordination with regional work on end use load profiles (assume some contract support and 4 weeks of contract analyst support). </t>
  </si>
  <si>
    <t>Assumes contract support for enhancments of commercial whole building models and 4 weeks of CAT support for updates to the commercial/industrial methodology</t>
  </si>
  <si>
    <t xml:space="preserve">Assumes about two months of analyst time (split across team) for review support of market research and connecting research to RTF work. </t>
  </si>
  <si>
    <t>26 UES slated to sunset, 3 assumed to be address in 2017, 9 are small saver, 9 planning which might involve minimal update, assumes contract analysts do most of the work.</t>
  </si>
  <si>
    <t>Approved 2018 RTF Work Plan (October 10,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</si>
</sst>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 numFmtId="173" formatCode="&quot;$&quot;#,##0.0_);\(&quot;$&quot;#,##0.0\)"/>
    <numFmt numFmtId="174" formatCode="&quot;$&quot;#,##0.0"/>
    <numFmt numFmtId="175" formatCode="_([$$-409]* #,##0.00_);_([$$-409]* \(#,##0.00\);_([$$-409]* &quot;-&quot;??_);_(@_)"/>
  </numFmts>
  <fonts count="27" x14ac:knownFonts="1">
    <font>
      <sz val="11"/>
      <color theme="1"/>
      <name val="Calibri"/>
      <family val="2"/>
      <scheme val="minor"/>
    </font>
    <font>
      <sz val="12"/>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b/>
      <sz val="12"/>
      <name val="Calibri"/>
      <family val="2"/>
      <scheme val="minor"/>
    </font>
    <font>
      <b/>
      <sz val="14"/>
      <color theme="1"/>
      <name val="Calibri"/>
      <family val="2"/>
      <scheme val="minor"/>
    </font>
    <font>
      <u/>
      <sz val="11"/>
      <color theme="10"/>
      <name val="Calibri"/>
      <family val="2"/>
      <scheme val="minor"/>
    </font>
    <font>
      <u/>
      <sz val="11"/>
      <color theme="11"/>
      <name val="Calibri"/>
      <family val="2"/>
      <scheme val="minor"/>
    </font>
    <font>
      <i/>
      <sz val="12"/>
      <color indexed="8"/>
      <name val="Calibri"/>
      <family val="2"/>
      <scheme val="minor"/>
    </font>
    <font>
      <sz val="11"/>
      <name val="Calibri"/>
      <family val="2"/>
      <scheme val="minor"/>
    </font>
    <font>
      <i/>
      <sz val="12"/>
      <name val="Calibri"/>
      <family val="2"/>
      <scheme val="minor"/>
    </font>
    <font>
      <sz val="12"/>
      <color theme="0"/>
      <name val="Calibri"/>
      <family val="2"/>
      <scheme val="minor"/>
    </font>
    <font>
      <sz val="11"/>
      <color theme="0"/>
      <name val="Calibri"/>
      <family val="2"/>
      <scheme val="minor"/>
    </font>
    <font>
      <b/>
      <sz val="11"/>
      <color theme="0"/>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s>
  <borders count="4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indexed="64"/>
      </left>
      <right/>
      <top/>
      <bottom style="thin">
        <color auto="1"/>
      </bottom>
      <diagonal/>
    </border>
  </borders>
  <cellStyleXfs count="18">
    <xf numFmtId="0" fontId="0" fillId="0" borderId="0"/>
    <xf numFmtId="44" fontId="2"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44" fontId="9" fillId="0" borderId="0" applyFont="0" applyFill="0" applyBorder="0" applyAlignment="0" applyProtection="0"/>
  </cellStyleXfs>
  <cellXfs count="464">
    <xf numFmtId="0" fontId="0" fillId="0" borderId="0" xfId="0"/>
    <xf numFmtId="0" fontId="7" fillId="0" borderId="0" xfId="0" applyFont="1"/>
    <xf numFmtId="0" fontId="0" fillId="0" borderId="0" xfId="0" applyFill="1"/>
    <xf numFmtId="0" fontId="0" fillId="0" borderId="0" xfId="0" applyBorder="1"/>
    <xf numFmtId="167" fontId="7" fillId="0" borderId="0" xfId="0" applyNumberFormat="1" applyFont="1" applyAlignment="1">
      <alignment horizontal="left"/>
    </xf>
    <xf numFmtId="0" fontId="7" fillId="0" borderId="0" xfId="0" applyFont="1" applyFill="1"/>
    <xf numFmtId="164" fontId="0" fillId="0" borderId="0" xfId="0" applyNumberFormat="1" applyBorder="1"/>
    <xf numFmtId="0" fontId="4" fillId="0" borderId="0" xfId="0" applyFont="1" applyFill="1" applyBorder="1" applyAlignment="1">
      <alignment wrapText="1"/>
    </xf>
    <xf numFmtId="5" fontId="4"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6" borderId="2" xfId="0" applyNumberFormat="1" applyFont="1" applyFill="1" applyBorder="1" applyAlignment="1">
      <alignment horizontal="center" vertical="center"/>
    </xf>
    <xf numFmtId="0" fontId="10" fillId="0" borderId="0" xfId="0" applyFont="1" applyAlignment="1">
      <alignment wrapText="1"/>
    </xf>
    <xf numFmtId="0" fontId="10" fillId="15" borderId="0" xfId="0" applyFont="1" applyFill="1"/>
    <xf numFmtId="0" fontId="10" fillId="15" borderId="0" xfId="0" applyFont="1" applyFill="1" applyAlignment="1">
      <alignment wrapText="1"/>
    </xf>
    <xf numFmtId="0" fontId="11" fillId="15" borderId="0" xfId="0" applyFont="1" applyFill="1"/>
    <xf numFmtId="0" fontId="12" fillId="15" borderId="0" xfId="0" applyFont="1" applyFill="1"/>
    <xf numFmtId="0" fontId="13" fillId="15" borderId="0" xfId="0" applyFont="1" applyFill="1" applyAlignment="1">
      <alignment wrapText="1"/>
    </xf>
    <xf numFmtId="0" fontId="13" fillId="0" borderId="0" xfId="0" applyFont="1"/>
    <xf numFmtId="0" fontId="10" fillId="6" borderId="0" xfId="0" applyFont="1" applyFill="1"/>
    <xf numFmtId="0" fontId="12" fillId="6" borderId="0" xfId="0" applyFont="1" applyFill="1"/>
    <xf numFmtId="0" fontId="11" fillId="6" borderId="0" xfId="0" applyFont="1" applyFill="1"/>
    <xf numFmtId="0" fontId="13" fillId="6" borderId="0" xfId="0" applyFont="1" applyFill="1"/>
    <xf numFmtId="0" fontId="12" fillId="0" borderId="0" xfId="0" applyFont="1"/>
    <xf numFmtId="0" fontId="10" fillId="5" borderId="0" xfId="0" applyFont="1" applyFill="1"/>
    <xf numFmtId="0" fontId="12" fillId="5" borderId="0" xfId="0" applyFont="1" applyFill="1"/>
    <xf numFmtId="0" fontId="13" fillId="5" borderId="0" xfId="0" applyFont="1" applyFill="1"/>
    <xf numFmtId="0" fontId="10" fillId="3" borderId="0" xfId="0" applyFont="1" applyFill="1"/>
    <xf numFmtId="0" fontId="13" fillId="3" borderId="0" xfId="0" applyFont="1" applyFill="1"/>
    <xf numFmtId="0" fontId="14" fillId="0" borderId="0" xfId="0" applyFont="1"/>
    <xf numFmtId="0" fontId="15" fillId="0" borderId="0" xfId="0" applyFont="1"/>
    <xf numFmtId="0" fontId="13" fillId="0" borderId="0" xfId="0" applyFont="1" applyFill="1"/>
    <xf numFmtId="0" fontId="10" fillId="0" borderId="2" xfId="0" applyFont="1" applyBorder="1" applyAlignment="1">
      <alignment horizontal="left" wrapText="1"/>
    </xf>
    <xf numFmtId="0" fontId="10" fillId="0" borderId="2" xfId="0" applyFont="1" applyBorder="1" applyAlignment="1">
      <alignment horizontal="center" wrapText="1"/>
    </xf>
    <xf numFmtId="0" fontId="13" fillId="0" borderId="2" xfId="0" applyFont="1" applyBorder="1" applyAlignment="1">
      <alignment wrapText="1"/>
    </xf>
    <xf numFmtId="0" fontId="14" fillId="0" borderId="0" xfId="0" applyFont="1" applyAlignment="1">
      <alignment wrapText="1"/>
    </xf>
    <xf numFmtId="0" fontId="13" fillId="0" borderId="0" xfId="0" applyFont="1" applyAlignment="1">
      <alignment wrapText="1"/>
    </xf>
    <xf numFmtId="5" fontId="11" fillId="15" borderId="0" xfId="1" applyNumberFormat="1" applyFont="1" applyFill="1" applyAlignment="1">
      <alignment horizontal="center" vertical="center"/>
    </xf>
    <xf numFmtId="0" fontId="13" fillId="15" borderId="0" xfId="0" applyFont="1" applyFill="1"/>
    <xf numFmtId="5" fontId="13" fillId="0" borderId="0" xfId="1" applyNumberFormat="1" applyFont="1" applyAlignment="1">
      <alignment horizontal="center" vertical="center"/>
    </xf>
    <xf numFmtId="0" fontId="14" fillId="6" borderId="0" xfId="0" applyFont="1" applyFill="1" applyAlignment="1"/>
    <xf numFmtId="5" fontId="11" fillId="6" borderId="0" xfId="1" applyNumberFormat="1" applyFont="1" applyFill="1" applyAlignment="1">
      <alignment horizontal="center" vertical="center"/>
    </xf>
    <xf numFmtId="5" fontId="16" fillId="3" borderId="0" xfId="0" applyNumberFormat="1" applyFont="1" applyFill="1" applyAlignment="1">
      <alignment horizontal="center"/>
    </xf>
    <xf numFmtId="9" fontId="16" fillId="3" borderId="0" xfId="8" applyFont="1" applyFill="1"/>
    <xf numFmtId="0" fontId="14" fillId="3" borderId="0" xfId="0" applyFont="1" applyFill="1"/>
    <xf numFmtId="5" fontId="13" fillId="0" borderId="0" xfId="0" applyNumberFormat="1" applyFont="1"/>
    <xf numFmtId="0" fontId="10" fillId="3" borderId="2" xfId="3" applyFont="1" applyFill="1" applyBorder="1"/>
    <xf numFmtId="0" fontId="10" fillId="3" borderId="2" xfId="3" applyFont="1" applyFill="1" applyBorder="1" applyAlignment="1">
      <alignment horizontal="center" wrapText="1"/>
    </xf>
    <xf numFmtId="0" fontId="10" fillId="3" borderId="3" xfId="3" applyFont="1" applyFill="1" applyBorder="1" applyAlignment="1">
      <alignment horizontal="center" wrapText="1"/>
    </xf>
    <xf numFmtId="0" fontId="10" fillId="3" borderId="22" xfId="3" applyFont="1" applyFill="1" applyBorder="1" applyAlignment="1">
      <alignment horizontal="center" wrapText="1"/>
    </xf>
    <xf numFmtId="0" fontId="10" fillId="3" borderId="23" xfId="3" applyFont="1" applyFill="1" applyBorder="1" applyAlignment="1">
      <alignment horizontal="center" wrapText="1"/>
    </xf>
    <xf numFmtId="0" fontId="10" fillId="3" borderId="1" xfId="3" applyFont="1" applyFill="1" applyBorder="1" applyAlignment="1">
      <alignment horizontal="center" wrapText="1"/>
    </xf>
    <xf numFmtId="0" fontId="12" fillId="8" borderId="3" xfId="3" applyFont="1" applyFill="1" applyBorder="1" applyAlignment="1">
      <alignment vertical="center" wrapText="1"/>
    </xf>
    <xf numFmtId="5" fontId="13" fillId="8" borderId="2" xfId="0" applyNumberFormat="1" applyFont="1" applyFill="1" applyBorder="1" applyAlignment="1">
      <alignment horizontal="center" vertical="center"/>
    </xf>
    <xf numFmtId="5" fontId="13" fillId="8" borderId="3" xfId="0" applyNumberFormat="1" applyFont="1" applyFill="1" applyBorder="1" applyAlignment="1">
      <alignment horizontal="center" vertical="center"/>
    </xf>
    <xf numFmtId="5" fontId="13" fillId="8" borderId="22" xfId="0" applyNumberFormat="1" applyFont="1" applyFill="1" applyBorder="1" applyAlignment="1">
      <alignment horizontal="center" vertical="center"/>
    </xf>
    <xf numFmtId="9" fontId="13" fillId="8" borderId="2" xfId="8" applyFont="1" applyFill="1" applyBorder="1" applyAlignment="1">
      <alignment horizontal="center" vertical="center" wrapText="1"/>
    </xf>
    <xf numFmtId="9" fontId="13" fillId="0" borderId="0" xfId="8" applyFont="1"/>
    <xf numFmtId="5" fontId="13" fillId="8" borderId="1" xfId="0" applyNumberFormat="1" applyFont="1" applyFill="1" applyBorder="1" applyAlignment="1">
      <alignment horizontal="center" vertical="center"/>
    </xf>
    <xf numFmtId="0" fontId="12" fillId="6" borderId="3" xfId="3" applyFont="1" applyFill="1" applyBorder="1" applyAlignment="1">
      <alignment vertical="center" wrapText="1"/>
    </xf>
    <xf numFmtId="5" fontId="13" fillId="6" borderId="2" xfId="0" applyNumberFormat="1" applyFont="1" applyFill="1" applyBorder="1" applyAlignment="1">
      <alignment horizontal="center" vertical="center"/>
    </xf>
    <xf numFmtId="5" fontId="13" fillId="6" borderId="3" xfId="0" applyNumberFormat="1" applyFont="1" applyFill="1" applyBorder="1" applyAlignment="1">
      <alignment horizontal="center" vertical="center"/>
    </xf>
    <xf numFmtId="5" fontId="13" fillId="6" borderId="22" xfId="0" applyNumberFormat="1" applyFont="1" applyFill="1" applyBorder="1" applyAlignment="1">
      <alignment horizontal="center" vertical="center"/>
    </xf>
    <xf numFmtId="9" fontId="13" fillId="6" borderId="2" xfId="8" applyFont="1" applyFill="1" applyBorder="1" applyAlignment="1">
      <alignment horizontal="center" vertical="center" wrapText="1"/>
    </xf>
    <xf numFmtId="5" fontId="13" fillId="6" borderId="1" xfId="0" applyNumberFormat="1" applyFont="1" applyFill="1" applyBorder="1" applyAlignment="1">
      <alignment horizontal="center" vertical="center"/>
    </xf>
    <xf numFmtId="0" fontId="12" fillId="5" borderId="3" xfId="3" applyFont="1" applyFill="1" applyBorder="1" applyAlignment="1">
      <alignment vertical="center" wrapText="1"/>
    </xf>
    <xf numFmtId="5" fontId="13" fillId="5" borderId="22" xfId="0" applyNumberFormat="1" applyFont="1" applyFill="1" applyBorder="1" applyAlignment="1">
      <alignment horizontal="center" vertical="center"/>
    </xf>
    <xf numFmtId="9" fontId="13" fillId="5" borderId="2" xfId="8" applyFont="1" applyFill="1" applyBorder="1" applyAlignment="1">
      <alignment horizontal="center" vertical="center" wrapText="1"/>
    </xf>
    <xf numFmtId="0" fontId="10" fillId="0" borderId="2" xfId="3" applyFont="1" applyBorder="1" applyAlignment="1">
      <alignment vertical="center" wrapText="1"/>
    </xf>
    <xf numFmtId="5" fontId="16" fillId="0" borderId="2" xfId="0" applyNumberFormat="1" applyFont="1" applyBorder="1" applyAlignment="1">
      <alignment horizontal="center" vertical="center"/>
    </xf>
    <xf numFmtId="5" fontId="16" fillId="0" borderId="3" xfId="0" applyNumberFormat="1" applyFont="1" applyBorder="1" applyAlignment="1">
      <alignment horizontal="center" vertical="center"/>
    </xf>
    <xf numFmtId="5" fontId="16" fillId="0" borderId="22" xfId="0" applyNumberFormat="1" applyFont="1" applyBorder="1" applyAlignment="1">
      <alignment horizontal="center" vertical="center"/>
    </xf>
    <xf numFmtId="9" fontId="16" fillId="0" borderId="2" xfId="8" applyFont="1" applyBorder="1" applyAlignment="1">
      <alignment horizontal="center" vertical="center" wrapText="1"/>
    </xf>
    <xf numFmtId="5" fontId="16" fillId="0" borderId="23" xfId="0" applyNumberFormat="1" applyFont="1" applyBorder="1" applyAlignment="1">
      <alignment horizontal="center" vertical="center"/>
    </xf>
    <xf numFmtId="5" fontId="16" fillId="0" borderId="1" xfId="0" applyNumberFormat="1" applyFont="1" applyBorder="1" applyAlignment="1">
      <alignment horizontal="center" vertical="center"/>
    </xf>
    <xf numFmtId="0" fontId="10" fillId="3" borderId="5" xfId="3" applyFont="1" applyFill="1" applyBorder="1" applyAlignment="1">
      <alignment horizontal="center" wrapText="1"/>
    </xf>
    <xf numFmtId="0" fontId="10" fillId="3" borderId="27" xfId="3" applyFont="1" applyFill="1" applyBorder="1" applyAlignment="1">
      <alignment horizontal="center" wrapText="1"/>
    </xf>
    <xf numFmtId="9" fontId="13" fillId="0" borderId="2" xfId="0" applyNumberFormat="1" applyFont="1" applyBorder="1" applyAlignment="1">
      <alignment horizontal="center" vertical="center"/>
    </xf>
    <xf numFmtId="0" fontId="10" fillId="0" borderId="2" xfId="3" applyFont="1" applyBorder="1" applyAlignment="1">
      <alignment horizontal="center" vertical="center" wrapText="1"/>
    </xf>
    <xf numFmtId="5" fontId="13" fillId="0" borderId="2" xfId="0" applyNumberFormat="1" applyFont="1" applyBorder="1" applyAlignment="1">
      <alignment horizontal="center" vertical="center"/>
    </xf>
    <xf numFmtId="0" fontId="10" fillId="3" borderId="2" xfId="3" applyFont="1" applyFill="1" applyBorder="1" applyAlignment="1">
      <alignment horizontal="center" vertical="center" wrapText="1"/>
    </xf>
    <xf numFmtId="0" fontId="13" fillId="10" borderId="2" xfId="0" applyFont="1" applyFill="1" applyBorder="1"/>
    <xf numFmtId="0" fontId="13" fillId="0" borderId="2" xfId="0" applyFont="1" applyBorder="1" applyAlignment="1">
      <alignment vertical="center"/>
    </xf>
    <xf numFmtId="0" fontId="13" fillId="0" borderId="2" xfId="0" applyFont="1" applyBorder="1" applyAlignment="1">
      <alignment vertical="center" wrapText="1"/>
    </xf>
    <xf numFmtId="5" fontId="0" fillId="0" borderId="2" xfId="0" applyNumberFormat="1" applyFont="1" applyFill="1" applyBorder="1" applyAlignment="1">
      <alignment horizontal="center" vertical="center"/>
    </xf>
    <xf numFmtId="0" fontId="13" fillId="3" borderId="2" xfId="0" applyFont="1" applyFill="1" applyBorder="1" applyAlignment="1">
      <alignment wrapText="1"/>
    </xf>
    <xf numFmtId="0" fontId="16" fillId="0" borderId="0" xfId="0" applyFont="1"/>
    <xf numFmtId="0" fontId="13" fillId="0" borderId="0" xfId="0" applyFont="1" applyBorder="1"/>
    <xf numFmtId="0" fontId="10" fillId="3" borderId="21" xfId="3" applyFont="1" applyFill="1" applyBorder="1" applyAlignment="1">
      <alignment horizontal="center" wrapText="1"/>
    </xf>
    <xf numFmtId="5" fontId="16" fillId="0" borderId="21" xfId="0" applyNumberFormat="1" applyFont="1" applyBorder="1" applyAlignment="1">
      <alignment horizontal="center" vertical="center"/>
    </xf>
    <xf numFmtId="0" fontId="12" fillId="0" borderId="2" xfId="3" applyFont="1" applyFill="1" applyBorder="1" applyAlignment="1">
      <alignment vertical="center" wrapText="1"/>
    </xf>
    <xf numFmtId="0" fontId="13" fillId="0" borderId="2" xfId="0" applyFont="1" applyBorder="1"/>
    <xf numFmtId="168" fontId="13" fillId="0" borderId="2" xfId="0" applyNumberFormat="1" applyFont="1" applyBorder="1" applyAlignment="1">
      <alignment horizontal="center" vertical="center"/>
    </xf>
    <xf numFmtId="0" fontId="13" fillId="0" borderId="21" xfId="0" applyFont="1" applyBorder="1"/>
    <xf numFmtId="168" fontId="13" fillId="0" borderId="1" xfId="0" applyNumberFormat="1" applyFont="1" applyBorder="1" applyAlignment="1">
      <alignment horizontal="center" vertical="center"/>
    </xf>
    <xf numFmtId="0" fontId="13" fillId="0" borderId="2" xfId="0" applyFont="1" applyBorder="1" applyAlignment="1">
      <alignment horizontal="right"/>
    </xf>
    <xf numFmtId="5" fontId="13" fillId="0" borderId="2" xfId="0" applyNumberFormat="1" applyFont="1" applyBorder="1" applyAlignment="1">
      <alignment horizontal="center"/>
    </xf>
    <xf numFmtId="5" fontId="13" fillId="0" borderId="2" xfId="0" applyNumberFormat="1" applyFont="1" applyBorder="1"/>
    <xf numFmtId="168" fontId="13" fillId="0" borderId="2" xfId="0" applyNumberFormat="1" applyFont="1" applyBorder="1"/>
    <xf numFmtId="0" fontId="16" fillId="3" borderId="2" xfId="0" applyFont="1" applyFill="1" applyBorder="1" applyAlignment="1">
      <alignment horizontal="right"/>
    </xf>
    <xf numFmtId="0" fontId="11" fillId="8" borderId="2" xfId="0" applyFont="1" applyFill="1" applyBorder="1" applyAlignment="1">
      <alignment horizontal="right"/>
    </xf>
    <xf numFmtId="5" fontId="13" fillId="8" borderId="2" xfId="0" applyNumberFormat="1" applyFont="1" applyFill="1" applyBorder="1"/>
    <xf numFmtId="0" fontId="11" fillId="6" borderId="2" xfId="0" applyFont="1" applyFill="1" applyBorder="1" applyAlignment="1">
      <alignment horizontal="right"/>
    </xf>
    <xf numFmtId="5" fontId="13" fillId="6" borderId="2" xfId="0" applyNumberFormat="1" applyFont="1" applyFill="1" applyBorder="1"/>
    <xf numFmtId="0" fontId="11" fillId="5" borderId="2" xfId="0" applyFont="1" applyFill="1" applyBorder="1" applyAlignment="1">
      <alignment horizontal="right"/>
    </xf>
    <xf numFmtId="5" fontId="13" fillId="5" borderId="2" xfId="0" applyNumberFormat="1" applyFont="1" applyFill="1" applyBorder="1"/>
    <xf numFmtId="0" fontId="16" fillId="0" borderId="2" xfId="0" applyFont="1" applyBorder="1" applyAlignment="1">
      <alignment horizontal="right"/>
    </xf>
    <xf numFmtId="5" fontId="16" fillId="0" borderId="2" xfId="0" applyNumberFormat="1" applyFont="1" applyBorder="1"/>
    <xf numFmtId="0" fontId="11" fillId="0" borderId="0" xfId="3" applyFont="1"/>
    <xf numFmtId="0" fontId="11" fillId="6" borderId="0" xfId="3" applyFont="1" applyFill="1"/>
    <xf numFmtId="164" fontId="13" fillId="6" borderId="0" xfId="2" applyNumberFormat="1" applyFont="1" applyFill="1"/>
    <xf numFmtId="0" fontId="17" fillId="0" borderId="0" xfId="3" applyFont="1"/>
    <xf numFmtId="165" fontId="13" fillId="7" borderId="3" xfId="6" applyNumberFormat="1" applyFont="1" applyFill="1" applyBorder="1"/>
    <xf numFmtId="0" fontId="11" fillId="7" borderId="1" xfId="3" applyFont="1" applyFill="1" applyBorder="1"/>
    <xf numFmtId="165" fontId="13" fillId="7" borderId="0" xfId="6" applyNumberFormat="1" applyFont="1" applyFill="1"/>
    <xf numFmtId="0" fontId="11" fillId="7" borderId="0" xfId="3" applyFont="1" applyFill="1"/>
    <xf numFmtId="0" fontId="17" fillId="9" borderId="2" xfId="3" applyFont="1" applyFill="1" applyBorder="1" applyAlignment="1">
      <alignment wrapText="1"/>
    </xf>
    <xf numFmtId="0" fontId="11" fillId="0" borderId="2" xfId="3" applyFont="1" applyBorder="1"/>
    <xf numFmtId="9" fontId="11" fillId="2" borderId="2" xfId="3" applyNumberFormat="1" applyFont="1" applyFill="1" applyBorder="1"/>
    <xf numFmtId="9" fontId="11" fillId="0" borderId="2" xfId="3" applyNumberFormat="1" applyFont="1" applyBorder="1"/>
    <xf numFmtId="0" fontId="11" fillId="0" borderId="2" xfId="3" applyFont="1" applyFill="1" applyBorder="1"/>
    <xf numFmtId="9" fontId="11" fillId="0" borderId="2" xfId="4" applyFont="1" applyBorder="1"/>
    <xf numFmtId="9" fontId="11" fillId="0" borderId="0" xfId="3" applyNumberFormat="1" applyFont="1"/>
    <xf numFmtId="164" fontId="11" fillId="0" borderId="0" xfId="2" applyNumberFormat="1" applyFont="1"/>
    <xf numFmtId="0" fontId="11" fillId="14" borderId="2" xfId="3" applyFont="1" applyFill="1" applyBorder="1"/>
    <xf numFmtId="9" fontId="11" fillId="14" borderId="2" xfId="3" applyNumberFormat="1" applyFont="1" applyFill="1" applyBorder="1"/>
    <xf numFmtId="0" fontId="17" fillId="4" borderId="2" xfId="3" applyFont="1" applyFill="1" applyBorder="1"/>
    <xf numFmtId="165" fontId="17" fillId="4" borderId="2" xfId="6" applyNumberFormat="1" applyFont="1" applyFill="1" applyBorder="1"/>
    <xf numFmtId="0" fontId="17" fillId="4" borderId="0" xfId="3" applyFont="1" applyFill="1" applyBorder="1"/>
    <xf numFmtId="165" fontId="17" fillId="4" borderId="0" xfId="6" applyNumberFormat="1" applyFont="1" applyFill="1" applyBorder="1"/>
    <xf numFmtId="164" fontId="17" fillId="4" borderId="0" xfId="3" applyNumberFormat="1" applyFont="1" applyFill="1"/>
    <xf numFmtId="9" fontId="11" fillId="0" borderId="0" xfId="3" applyNumberFormat="1" applyFont="1" applyFill="1"/>
    <xf numFmtId="0" fontId="17" fillId="4" borderId="26" xfId="3" applyFont="1" applyFill="1" applyBorder="1"/>
    <xf numFmtId="164" fontId="11" fillId="0" borderId="0" xfId="1" applyNumberFormat="1" applyFont="1"/>
    <xf numFmtId="164" fontId="11" fillId="0" borderId="0" xfId="3" applyNumberFormat="1" applyFont="1"/>
    <xf numFmtId="0" fontId="16" fillId="10" borderId="0" xfId="0" applyFont="1" applyFill="1"/>
    <xf numFmtId="0" fontId="13" fillId="10" borderId="0" xfId="0" applyFont="1" applyFill="1"/>
    <xf numFmtId="0" fontId="13" fillId="0" borderId="0" xfId="0" applyFont="1" applyAlignment="1">
      <alignment horizontal="right"/>
    </xf>
    <xf numFmtId="0" fontId="16" fillId="10" borderId="5" xfId="0" applyFont="1" applyFill="1" applyBorder="1" applyAlignment="1">
      <alignment wrapText="1"/>
    </xf>
    <xf numFmtId="0" fontId="16" fillId="10" borderId="7" xfId="0" applyFont="1" applyFill="1" applyBorder="1" applyAlignment="1">
      <alignment wrapText="1"/>
    </xf>
    <xf numFmtId="0" fontId="16" fillId="10" borderId="8" xfId="0" applyFont="1" applyFill="1" applyBorder="1" applyAlignment="1">
      <alignment wrapText="1"/>
    </xf>
    <xf numFmtId="9" fontId="13" fillId="0" borderId="6" xfId="0" applyNumberFormat="1" applyFont="1" applyBorder="1"/>
    <xf numFmtId="1" fontId="13" fillId="0" borderId="0" xfId="0" applyNumberFormat="1" applyFont="1" applyBorder="1"/>
    <xf numFmtId="1" fontId="13" fillId="0" borderId="9" xfId="0" applyNumberFormat="1" applyFont="1" applyBorder="1"/>
    <xf numFmtId="166" fontId="13" fillId="0" borderId="9" xfId="0" applyNumberFormat="1" applyFont="1" applyBorder="1"/>
    <xf numFmtId="9" fontId="13" fillId="0" borderId="10" xfId="0" applyNumberFormat="1" applyFont="1" applyBorder="1"/>
    <xf numFmtId="1" fontId="13" fillId="0" borderId="11" xfId="0" applyNumberFormat="1" applyFont="1" applyBorder="1"/>
    <xf numFmtId="0" fontId="13" fillId="0" borderId="11" xfId="0" applyFont="1" applyBorder="1"/>
    <xf numFmtId="166" fontId="13" fillId="0" borderId="12" xfId="0" applyNumberFormat="1" applyFont="1" applyBorder="1"/>
    <xf numFmtId="0" fontId="13" fillId="0" borderId="2" xfId="0" applyFont="1" applyBorder="1" applyAlignment="1">
      <alignment horizontal="center"/>
    </xf>
    <xf numFmtId="0" fontId="13" fillId="0" borderId="2" xfId="0" applyFont="1" applyBorder="1" applyAlignment="1">
      <alignment horizontal="left"/>
    </xf>
    <xf numFmtId="0" fontId="13" fillId="11" borderId="2" xfId="0" applyFont="1" applyFill="1" applyBorder="1" applyAlignment="1">
      <alignment horizontal="center"/>
    </xf>
    <xf numFmtId="0" fontId="13" fillId="12" borderId="2" xfId="0" applyFont="1" applyFill="1" applyBorder="1" applyAlignment="1">
      <alignment horizontal="center"/>
    </xf>
    <xf numFmtId="9" fontId="13" fillId="0" borderId="2" xfId="4" applyFont="1" applyBorder="1" applyAlignment="1">
      <alignment horizontal="center"/>
    </xf>
    <xf numFmtId="0" fontId="16" fillId="13" borderId="13" xfId="0" applyFont="1" applyFill="1" applyBorder="1" applyAlignment="1">
      <alignment wrapText="1"/>
    </xf>
    <xf numFmtId="0" fontId="16" fillId="13" borderId="14" xfId="0" applyFont="1" applyFill="1" applyBorder="1" applyAlignment="1">
      <alignment wrapText="1"/>
    </xf>
    <xf numFmtId="0" fontId="16" fillId="13" borderId="15" xfId="0" applyFont="1" applyFill="1" applyBorder="1" applyAlignment="1">
      <alignment wrapText="1"/>
    </xf>
    <xf numFmtId="0" fontId="13" fillId="0" borderId="16" xfId="0" applyFont="1" applyBorder="1"/>
    <xf numFmtId="164" fontId="13" fillId="0" borderId="0" xfId="0" applyNumberFormat="1" applyFont="1" applyBorder="1"/>
    <xf numFmtId="164" fontId="13" fillId="0" borderId="17" xfId="0" applyNumberFormat="1" applyFont="1" applyBorder="1"/>
    <xf numFmtId="0" fontId="13" fillId="0" borderId="17" xfId="0" applyFont="1" applyBorder="1"/>
    <xf numFmtId="0" fontId="16" fillId="0" borderId="18" xfId="0" applyFont="1" applyBorder="1"/>
    <xf numFmtId="169" fontId="16" fillId="0" borderId="19" xfId="0" applyNumberFormat="1" applyFont="1" applyBorder="1"/>
    <xf numFmtId="164" fontId="16" fillId="0" borderId="19" xfId="0" applyNumberFormat="1" applyFont="1" applyBorder="1"/>
    <xf numFmtId="164" fontId="16" fillId="0" borderId="20" xfId="0" applyNumberFormat="1" applyFont="1" applyBorder="1"/>
    <xf numFmtId="0" fontId="18" fillId="0" borderId="0" xfId="0" applyFont="1"/>
    <xf numFmtId="7" fontId="13" fillId="5" borderId="0" xfId="0" applyNumberFormat="1" applyFont="1" applyFill="1"/>
    <xf numFmtId="0" fontId="16" fillId="17" borderId="2" xfId="0" applyFont="1" applyFill="1" applyBorder="1" applyAlignment="1">
      <alignment horizontal="center"/>
    </xf>
    <xf numFmtId="0" fontId="16" fillId="17" borderId="6" xfId="0" applyFont="1" applyFill="1" applyBorder="1" applyAlignment="1">
      <alignment horizontal="right" vertical="center"/>
    </xf>
    <xf numFmtId="9" fontId="16" fillId="17" borderId="9" xfId="8" applyFont="1" applyFill="1" applyBorder="1" applyAlignment="1">
      <alignment horizontal="center"/>
    </xf>
    <xf numFmtId="0" fontId="16" fillId="17" borderId="6" xfId="0" applyFont="1" applyFill="1" applyBorder="1" applyAlignment="1">
      <alignment horizontal="right"/>
    </xf>
    <xf numFmtId="5" fontId="16" fillId="17" borderId="9" xfId="0" applyNumberFormat="1" applyFont="1" applyFill="1" applyBorder="1" applyAlignment="1">
      <alignment horizontal="center" vertical="center"/>
    </xf>
    <xf numFmtId="0" fontId="13" fillId="17" borderId="2" xfId="0" applyFont="1" applyFill="1" applyBorder="1"/>
    <xf numFmtId="5" fontId="16" fillId="0" borderId="27" xfId="0" applyNumberFormat="1" applyFont="1" applyBorder="1" applyAlignment="1">
      <alignment horizontal="center" vertical="center"/>
    </xf>
    <xf numFmtId="0" fontId="13" fillId="17" borderId="0" xfId="0" applyFont="1" applyFill="1" applyAlignment="1">
      <alignment horizontal="right"/>
    </xf>
    <xf numFmtId="10" fontId="13" fillId="17" borderId="0" xfId="0" applyNumberFormat="1" applyFont="1" applyFill="1"/>
    <xf numFmtId="5" fontId="13" fillId="5" borderId="2" xfId="0" applyNumberFormat="1" applyFont="1" applyFill="1" applyBorder="1" applyAlignment="1">
      <alignment horizontal="center" vertical="center"/>
    </xf>
    <xf numFmtId="5" fontId="13" fillId="5" borderId="3" xfId="0" applyNumberFormat="1" applyFont="1" applyFill="1" applyBorder="1" applyAlignment="1">
      <alignment horizontal="center" vertical="center"/>
    </xf>
    <xf numFmtId="5" fontId="13" fillId="5" borderId="1" xfId="0" applyNumberFormat="1" applyFont="1" applyFill="1" applyBorder="1" applyAlignment="1">
      <alignment horizontal="center" vertical="center"/>
    </xf>
    <xf numFmtId="9" fontId="13" fillId="8" borderId="2" xfId="8" applyNumberFormat="1" applyFont="1" applyFill="1" applyBorder="1" applyAlignment="1">
      <alignment horizontal="center" vertical="center" wrapText="1"/>
    </xf>
    <xf numFmtId="9" fontId="13" fillId="6" borderId="2" xfId="8" applyNumberFormat="1" applyFont="1" applyFill="1" applyBorder="1" applyAlignment="1">
      <alignment horizontal="center" vertical="center" wrapText="1"/>
    </xf>
    <xf numFmtId="9" fontId="13" fillId="5" borderId="2" xfId="8" applyNumberFormat="1" applyFont="1" applyFill="1" applyBorder="1" applyAlignment="1">
      <alignment horizontal="center" vertical="center" wrapText="1"/>
    </xf>
    <xf numFmtId="172" fontId="0" fillId="0" borderId="0" xfId="0" applyNumberFormat="1"/>
    <xf numFmtId="9" fontId="16" fillId="0" borderId="23" xfId="8" applyFont="1" applyBorder="1" applyAlignment="1">
      <alignment horizontal="center" vertical="center" wrapText="1"/>
    </xf>
    <xf numFmtId="5" fontId="0" fillId="0" borderId="0" xfId="0" applyNumberFormat="1"/>
    <xf numFmtId="5" fontId="13" fillId="0" borderId="0" xfId="8" applyNumberFormat="1" applyFont="1"/>
    <xf numFmtId="9" fontId="11" fillId="15" borderId="0" xfId="8" applyFont="1" applyFill="1" applyAlignment="1">
      <alignment wrapText="1"/>
    </xf>
    <xf numFmtId="0" fontId="11" fillId="15" borderId="0" xfId="0" applyFont="1" applyFill="1" applyAlignment="1">
      <alignment wrapText="1"/>
    </xf>
    <xf numFmtId="5" fontId="17" fillId="15" borderId="0" xfId="1" applyNumberFormat="1" applyFont="1" applyFill="1" applyAlignment="1">
      <alignment horizontal="center" vertical="center"/>
    </xf>
    <xf numFmtId="9" fontId="17" fillId="15" borderId="0" xfId="8" applyFont="1" applyFill="1" applyAlignment="1">
      <alignment wrapText="1"/>
    </xf>
    <xf numFmtId="0" fontId="17" fillId="15" borderId="0" xfId="0" applyFont="1" applyFill="1" applyAlignment="1">
      <alignment wrapText="1"/>
    </xf>
    <xf numFmtId="5" fontId="11" fillId="0" borderId="0" xfId="1" applyNumberFormat="1" applyFont="1" applyAlignment="1">
      <alignment horizontal="center" vertical="center"/>
    </xf>
    <xf numFmtId="7" fontId="11" fillId="0" borderId="0" xfId="0" applyNumberFormat="1" applyFont="1"/>
    <xf numFmtId="0" fontId="11" fillId="0" borderId="0" xfId="0" applyFont="1"/>
    <xf numFmtId="0" fontId="11" fillId="6" borderId="0" xfId="0" applyFont="1" applyFill="1" applyAlignment="1"/>
    <xf numFmtId="5" fontId="17" fillId="6" borderId="0" xfId="1" applyNumberFormat="1" applyFont="1" applyFill="1" applyAlignment="1">
      <alignment horizontal="center" vertical="center"/>
    </xf>
    <xf numFmtId="9" fontId="17" fillId="6" borderId="0" xfId="8" applyFont="1" applyFill="1"/>
    <xf numFmtId="5" fontId="11" fillId="5" borderId="0" xfId="1" applyNumberFormat="1" applyFont="1" applyFill="1" applyAlignment="1">
      <alignment horizontal="center" vertical="center"/>
    </xf>
    <xf numFmtId="0" fontId="11" fillId="5" borderId="0" xfId="0" applyFont="1" applyFill="1"/>
    <xf numFmtId="5" fontId="17" fillId="5" borderId="0" xfId="1" applyNumberFormat="1" applyFont="1" applyFill="1" applyAlignment="1">
      <alignment horizontal="center" vertical="center"/>
    </xf>
    <xf numFmtId="9" fontId="17" fillId="5" borderId="0" xfId="8" applyNumberFormat="1" applyFont="1" applyFill="1"/>
    <xf numFmtId="7" fontId="11" fillId="5" borderId="0" xfId="0" applyNumberFormat="1" applyFont="1" applyFill="1"/>
    <xf numFmtId="5" fontId="11" fillId="5" borderId="0" xfId="0" applyNumberFormat="1" applyFont="1" applyFill="1"/>
    <xf numFmtId="7" fontId="13" fillId="0" borderId="0" xfId="0" applyNumberFormat="1" applyFont="1"/>
    <xf numFmtId="0" fontId="0" fillId="0" borderId="0" xfId="0" applyAlignment="1">
      <alignment horizontal="right"/>
    </xf>
    <xf numFmtId="44" fontId="11" fillId="0" borderId="0" xfId="3" applyNumberFormat="1" applyFont="1"/>
    <xf numFmtId="0" fontId="16" fillId="18" borderId="0" xfId="0" applyFont="1" applyFill="1"/>
    <xf numFmtId="0" fontId="0" fillId="18" borderId="0" xfId="0" applyFill="1"/>
    <xf numFmtId="0" fontId="16" fillId="7" borderId="38" xfId="0" applyFont="1" applyFill="1" applyBorder="1" applyAlignment="1">
      <alignment horizontal="center" vertical="center" wrapText="1"/>
    </xf>
    <xf numFmtId="0" fontId="16" fillId="7" borderId="40" xfId="0" applyFont="1" applyFill="1" applyBorder="1" applyAlignment="1">
      <alignment horizontal="center" vertical="center" wrapText="1"/>
    </xf>
    <xf numFmtId="5" fontId="16" fillId="13" borderId="38" xfId="0" applyNumberFormat="1" applyFont="1" applyFill="1" applyBorder="1" applyAlignment="1">
      <alignment wrapText="1"/>
    </xf>
    <xf numFmtId="5" fontId="16" fillId="17" borderId="40" xfId="0" applyNumberFormat="1" applyFont="1" applyFill="1" applyBorder="1" applyAlignment="1">
      <alignment wrapText="1"/>
    </xf>
    <xf numFmtId="0" fontId="13" fillId="0" borderId="36" xfId="0" applyFont="1" applyBorder="1"/>
    <xf numFmtId="164" fontId="13" fillId="0" borderId="42" xfId="0" applyNumberFormat="1" applyFont="1" applyBorder="1"/>
    <xf numFmtId="164" fontId="13" fillId="0" borderId="37" xfId="0" applyNumberFormat="1" applyFont="1" applyBorder="1"/>
    <xf numFmtId="164" fontId="13" fillId="17" borderId="43" xfId="0" applyNumberFormat="1" applyFont="1" applyFill="1" applyBorder="1"/>
    <xf numFmtId="164" fontId="13" fillId="0" borderId="6" xfId="0" applyNumberFormat="1" applyFont="1" applyBorder="1"/>
    <xf numFmtId="164" fontId="13" fillId="0" borderId="25" xfId="0" applyNumberFormat="1" applyFont="1" applyBorder="1"/>
    <xf numFmtId="164" fontId="13" fillId="17" borderId="44" xfId="0" applyNumberFormat="1" applyFont="1" applyFill="1" applyBorder="1"/>
    <xf numFmtId="164" fontId="13" fillId="19" borderId="6" xfId="0" applyNumberFormat="1" applyFont="1" applyFill="1" applyBorder="1"/>
    <xf numFmtId="164" fontId="13" fillId="19" borderId="44" xfId="0" applyNumberFormat="1" applyFont="1" applyFill="1" applyBorder="1"/>
    <xf numFmtId="0" fontId="13" fillId="0" borderId="18" xfId="0" applyFont="1" applyBorder="1"/>
    <xf numFmtId="164" fontId="13" fillId="0" borderId="45" xfId="0" applyNumberFormat="1" applyFont="1" applyBorder="1"/>
    <xf numFmtId="164" fontId="13" fillId="0" borderId="41" xfId="0" applyNumberFormat="1" applyFont="1" applyBorder="1"/>
    <xf numFmtId="164" fontId="13" fillId="17" borderId="46" xfId="0" applyNumberFormat="1" applyFont="1" applyFill="1" applyBorder="1"/>
    <xf numFmtId="10" fontId="16" fillId="0" borderId="41" xfId="0" applyNumberFormat="1" applyFont="1" applyBorder="1"/>
    <xf numFmtId="164" fontId="16" fillId="17" borderId="46" xfId="0" applyNumberFormat="1" applyFont="1" applyFill="1" applyBorder="1"/>
    <xf numFmtId="0" fontId="0" fillId="19" borderId="16" xfId="0" applyFill="1" applyBorder="1"/>
    <xf numFmtId="0" fontId="0" fillId="19" borderId="0" xfId="0" applyFill="1"/>
    <xf numFmtId="164" fontId="0" fillId="0" borderId="0" xfId="8" applyNumberFormat="1" applyFont="1"/>
    <xf numFmtId="0" fontId="4" fillId="0" borderId="11" xfId="0" applyFont="1" applyBorder="1"/>
    <xf numFmtId="0" fontId="4" fillId="0" borderId="11" xfId="0" applyFont="1" applyBorder="1" applyAlignment="1">
      <alignment horizontal="center"/>
    </xf>
    <xf numFmtId="10" fontId="0" fillId="0" borderId="0" xfId="0" applyNumberFormat="1"/>
    <xf numFmtId="10" fontId="0" fillId="20" borderId="0" xfId="0" applyNumberFormat="1" applyFill="1"/>
    <xf numFmtId="171" fontId="0" fillId="0" borderId="0" xfId="0" applyNumberFormat="1"/>
    <xf numFmtId="171" fontId="0" fillId="20" borderId="0" xfId="0" applyNumberFormat="1" applyFill="1"/>
    <xf numFmtId="0" fontId="0" fillId="20" borderId="0" xfId="0" applyFill="1"/>
    <xf numFmtId="43" fontId="0" fillId="20" borderId="0" xfId="7" applyFont="1" applyFill="1"/>
    <xf numFmtId="9" fontId="0" fillId="0" borderId="0" xfId="8" applyNumberFormat="1" applyFont="1"/>
    <xf numFmtId="10" fontId="0" fillId="0" borderId="0" xfId="8" applyNumberFormat="1" applyFont="1"/>
    <xf numFmtId="0" fontId="0" fillId="21" borderId="0" xfId="0" applyFill="1"/>
    <xf numFmtId="164" fontId="0" fillId="0" borderId="0" xfId="7" applyNumberFormat="1" applyFont="1"/>
    <xf numFmtId="164" fontId="0" fillId="0" borderId="0" xfId="0" applyNumberFormat="1"/>
    <xf numFmtId="164" fontId="16" fillId="18" borderId="0" xfId="1" applyNumberFormat="1" applyFont="1" applyFill="1"/>
    <xf numFmtId="10" fontId="13" fillId="0" borderId="0" xfId="5" applyNumberFormat="1" applyFont="1" applyBorder="1"/>
    <xf numFmtId="0" fontId="12" fillId="0" borderId="3" xfId="3" applyFont="1" applyFill="1" applyBorder="1" applyAlignment="1">
      <alignment vertical="center" wrapText="1"/>
    </xf>
    <xf numFmtId="5" fontId="13" fillId="0" borderId="2" xfId="0" applyNumberFormat="1" applyFont="1" applyFill="1" applyBorder="1" applyAlignment="1">
      <alignment horizontal="center" vertical="center"/>
    </xf>
    <xf numFmtId="0" fontId="12" fillId="18" borderId="3" xfId="3" applyFont="1" applyFill="1" applyBorder="1" applyAlignment="1">
      <alignment vertical="center" wrapText="1"/>
    </xf>
    <xf numFmtId="5" fontId="13" fillId="18" borderId="2" xfId="0" applyNumberFormat="1" applyFont="1" applyFill="1" applyBorder="1" applyAlignment="1">
      <alignment horizontal="center" vertical="center"/>
    </xf>
    <xf numFmtId="9" fontId="13" fillId="0" borderId="0" xfId="0" applyNumberFormat="1" applyFont="1"/>
    <xf numFmtId="5" fontId="13" fillId="0" borderId="21" xfId="0" applyNumberFormat="1" applyFont="1" applyBorder="1"/>
    <xf numFmtId="171" fontId="13" fillId="0" borderId="0" xfId="0" applyNumberFormat="1" applyFont="1"/>
    <xf numFmtId="0" fontId="13" fillId="0" borderId="0" xfId="0" applyFont="1" applyAlignment="1">
      <alignment horizontal="center" vertical="center"/>
    </xf>
    <xf numFmtId="0" fontId="11" fillId="0" borderId="2" xfId="0" applyFont="1" applyFill="1" applyBorder="1" applyAlignment="1">
      <alignment horizontal="right"/>
    </xf>
    <xf numFmtId="5" fontId="13" fillId="22" borderId="2" xfId="0" applyNumberFormat="1" applyFont="1" applyFill="1" applyBorder="1" applyAlignment="1">
      <alignment horizontal="right"/>
    </xf>
    <xf numFmtId="5" fontId="13" fillId="0" borderId="2" xfId="0" applyNumberFormat="1" applyFont="1" applyFill="1" applyBorder="1"/>
    <xf numFmtId="0" fontId="16" fillId="7" borderId="10" xfId="0" applyFont="1" applyFill="1" applyBorder="1" applyAlignment="1">
      <alignment horizontal="right"/>
    </xf>
    <xf numFmtId="168" fontId="16" fillId="7" borderId="12" xfId="7" applyNumberFormat="1" applyFont="1" applyFill="1" applyBorder="1" applyAlignment="1">
      <alignment horizontal="center"/>
    </xf>
    <xf numFmtId="0" fontId="13" fillId="7" borderId="0" xfId="0" applyFont="1" applyFill="1"/>
    <xf numFmtId="9" fontId="11" fillId="5" borderId="0" xfId="8" applyFont="1" applyFill="1"/>
    <xf numFmtId="9" fontId="11" fillId="5" borderId="0" xfId="0" applyNumberFormat="1" applyFont="1" applyFill="1"/>
    <xf numFmtId="0" fontId="10" fillId="2" borderId="2" xfId="0" applyFont="1" applyFill="1" applyBorder="1" applyAlignment="1">
      <alignment horizontal="center" wrapText="1"/>
    </xf>
    <xf numFmtId="0" fontId="17" fillId="0" borderId="0" xfId="3" applyFont="1" applyFill="1"/>
    <xf numFmtId="0" fontId="11" fillId="0" borderId="0" xfId="3" applyFont="1" applyFill="1"/>
    <xf numFmtId="0" fontId="1" fillId="17" borderId="6" xfId="0" applyFont="1" applyFill="1" applyBorder="1"/>
    <xf numFmtId="171" fontId="13" fillId="17" borderId="0" xfId="0" applyNumberFormat="1" applyFont="1" applyFill="1" applyBorder="1"/>
    <xf numFmtId="171" fontId="13" fillId="17" borderId="9" xfId="0" applyNumberFormat="1" applyFont="1" applyFill="1" applyBorder="1"/>
    <xf numFmtId="0" fontId="13" fillId="17" borderId="3" xfId="0" applyFont="1" applyFill="1" applyBorder="1"/>
    <xf numFmtId="0" fontId="16" fillId="17" borderId="4" xfId="0" applyFont="1" applyFill="1" applyBorder="1"/>
    <xf numFmtId="0" fontId="16" fillId="17" borderId="1" xfId="0" applyFont="1" applyFill="1" applyBorder="1"/>
    <xf numFmtId="9" fontId="16" fillId="17" borderId="10" xfId="8" applyFont="1" applyFill="1" applyBorder="1"/>
    <xf numFmtId="171" fontId="16" fillId="17" borderId="11" xfId="0" applyNumberFormat="1" applyFont="1" applyFill="1" applyBorder="1"/>
    <xf numFmtId="171" fontId="16" fillId="17" borderId="12" xfId="0" applyNumberFormat="1" applyFont="1" applyFill="1" applyBorder="1"/>
    <xf numFmtId="9" fontId="1" fillId="23" borderId="3" xfId="8" applyFont="1" applyFill="1" applyBorder="1"/>
    <xf numFmtId="171" fontId="13" fillId="23" borderId="1" xfId="0" applyNumberFormat="1" applyFont="1" applyFill="1" applyBorder="1"/>
    <xf numFmtId="171" fontId="1" fillId="23" borderId="4" xfId="2" applyNumberFormat="1" applyFont="1" applyFill="1" applyBorder="1"/>
    <xf numFmtId="168" fontId="16" fillId="17" borderId="9" xfId="7" applyNumberFormat="1" applyFont="1" applyFill="1" applyBorder="1" applyAlignment="1">
      <alignment horizontal="center"/>
    </xf>
    <xf numFmtId="171" fontId="13" fillId="17" borderId="8" xfId="0" applyNumberFormat="1" applyFont="1" applyFill="1" applyBorder="1"/>
    <xf numFmtId="164" fontId="13" fillId="0" borderId="0" xfId="2" applyNumberFormat="1" applyFont="1" applyFill="1"/>
    <xf numFmtId="0" fontId="1" fillId="0" borderId="0" xfId="0" applyFont="1"/>
    <xf numFmtId="0" fontId="1" fillId="0" borderId="0" xfId="0" applyFont="1" applyFill="1"/>
    <xf numFmtId="0" fontId="10" fillId="3" borderId="2" xfId="3" applyFont="1" applyFill="1" applyBorder="1" applyAlignment="1">
      <alignment horizontal="center" wrapText="1"/>
    </xf>
    <xf numFmtId="168" fontId="13" fillId="0" borderId="3" xfId="0" applyNumberFormat="1" applyFont="1" applyBorder="1" applyAlignment="1">
      <alignment horizontal="center" vertical="center"/>
    </xf>
    <xf numFmtId="0" fontId="10" fillId="3" borderId="2" xfId="3" applyFont="1" applyFill="1" applyBorder="1" applyAlignment="1">
      <alignment vertical="center" wrapText="1"/>
    </xf>
    <xf numFmtId="5" fontId="16" fillId="3" borderId="2" xfId="0" applyNumberFormat="1" applyFont="1" applyFill="1" applyBorder="1" applyAlignment="1">
      <alignment horizontal="center" vertical="center"/>
    </xf>
    <xf numFmtId="5" fontId="16" fillId="3" borderId="1" xfId="0" applyNumberFormat="1" applyFont="1" applyFill="1" applyBorder="1" applyAlignment="1">
      <alignment horizontal="center" vertical="center"/>
    </xf>
    <xf numFmtId="5" fontId="13" fillId="8" borderId="21" xfId="0" applyNumberFormat="1" applyFont="1" applyFill="1" applyBorder="1" applyAlignment="1">
      <alignment horizontal="center" vertical="center"/>
    </xf>
    <xf numFmtId="5" fontId="13" fillId="6" borderId="21" xfId="0" applyNumberFormat="1" applyFont="1" applyFill="1" applyBorder="1" applyAlignment="1">
      <alignment horizontal="center" vertical="center"/>
    </xf>
    <xf numFmtId="5" fontId="13" fillId="5" borderId="21" xfId="0" applyNumberFormat="1" applyFont="1" applyFill="1" applyBorder="1" applyAlignment="1">
      <alignment horizontal="center" vertical="center"/>
    </xf>
    <xf numFmtId="5" fontId="16" fillId="3" borderId="21" xfId="0" applyNumberFormat="1" applyFont="1" applyFill="1" applyBorder="1" applyAlignment="1">
      <alignment horizontal="center" vertical="center"/>
    </xf>
    <xf numFmtId="9" fontId="1" fillId="0" borderId="2" xfId="8" applyFont="1" applyBorder="1" applyAlignment="1">
      <alignment horizontal="center" vertical="center"/>
    </xf>
    <xf numFmtId="0" fontId="16" fillId="0" borderId="0" xfId="0" applyFont="1" applyFill="1" applyBorder="1" applyAlignment="1"/>
    <xf numFmtId="0" fontId="1" fillId="0" borderId="2" xfId="0" applyFont="1" applyBorder="1" applyAlignment="1">
      <alignment horizontal="right"/>
    </xf>
    <xf numFmtId="5" fontId="13" fillId="0" borderId="0" xfId="0" applyNumberFormat="1" applyFont="1" applyAlignment="1">
      <alignment vertical="top"/>
    </xf>
    <xf numFmtId="9" fontId="1" fillId="0" borderId="2" xfId="0" applyNumberFormat="1" applyFont="1" applyBorder="1" applyAlignment="1">
      <alignment horizontal="right"/>
    </xf>
    <xf numFmtId="0" fontId="1" fillId="0" borderId="16" xfId="0" applyFont="1" applyFill="1" applyBorder="1"/>
    <xf numFmtId="0" fontId="10" fillId="3" borderId="2" xfId="3" applyFont="1" applyFill="1" applyBorder="1" applyAlignment="1">
      <alignment horizontal="center" wrapText="1"/>
    </xf>
    <xf numFmtId="0" fontId="1" fillId="0" borderId="2" xfId="0" applyFont="1" applyBorder="1" applyAlignment="1">
      <alignment vertical="center"/>
    </xf>
    <xf numFmtId="0" fontId="1" fillId="0" borderId="2" xfId="0" applyFont="1" applyBorder="1" applyAlignment="1">
      <alignment vertical="center" wrapText="1"/>
    </xf>
    <xf numFmtId="164" fontId="13" fillId="14" borderId="0" xfId="2" applyNumberFormat="1" applyFont="1" applyFill="1"/>
    <xf numFmtId="10" fontId="9" fillId="14" borderId="14" xfId="0" applyNumberFormat="1" applyFont="1" applyFill="1" applyBorder="1" applyAlignment="1">
      <alignment vertical="center"/>
    </xf>
    <xf numFmtId="10" fontId="9" fillId="14" borderId="2" xfId="0" applyNumberFormat="1" applyFont="1" applyFill="1" applyBorder="1" applyAlignment="1">
      <alignment vertical="center"/>
    </xf>
    <xf numFmtId="5" fontId="11" fillId="6" borderId="0" xfId="0" applyNumberFormat="1" applyFont="1" applyFill="1" applyAlignment="1">
      <alignment horizontal="center"/>
    </xf>
    <xf numFmtId="172" fontId="13" fillId="0" borderId="0" xfId="0" applyNumberFormat="1" applyFont="1"/>
    <xf numFmtId="0" fontId="1" fillId="5" borderId="0" xfId="0" applyFont="1" applyFill="1"/>
    <xf numFmtId="9" fontId="11" fillId="0" borderId="2" xfId="4" applyFont="1" applyFill="1" applyBorder="1"/>
    <xf numFmtId="9" fontId="11" fillId="0" borderId="2" xfId="3" applyNumberFormat="1" applyFont="1" applyFill="1" applyBorder="1"/>
    <xf numFmtId="171" fontId="13" fillId="0" borderId="0" xfId="0" applyNumberFormat="1" applyFont="1" applyFill="1"/>
    <xf numFmtId="1" fontId="13" fillId="0" borderId="0" xfId="0" applyNumberFormat="1" applyFont="1" applyFill="1"/>
    <xf numFmtId="9" fontId="1" fillId="0" borderId="2" xfId="0" applyNumberFormat="1" applyFont="1" applyBorder="1" applyAlignment="1">
      <alignment horizontal="center" vertical="center"/>
    </xf>
    <xf numFmtId="5" fontId="13" fillId="0" borderId="0" xfId="0" applyNumberFormat="1" applyFont="1" applyFill="1" applyAlignment="1">
      <alignment vertical="top"/>
    </xf>
    <xf numFmtId="5" fontId="1" fillId="0" borderId="0" xfId="0" applyNumberFormat="1" applyFont="1" applyFill="1" applyAlignment="1">
      <alignment vertical="top"/>
    </xf>
    <xf numFmtId="0" fontId="10" fillId="3" borderId="2" xfId="3" applyFont="1" applyFill="1" applyBorder="1" applyAlignment="1">
      <alignment horizontal="center" wrapText="1"/>
    </xf>
    <xf numFmtId="2" fontId="0" fillId="0" borderId="0" xfId="0" applyNumberFormat="1"/>
    <xf numFmtId="174" fontId="13" fillId="0" borderId="0" xfId="0" applyNumberFormat="1" applyFont="1"/>
    <xf numFmtId="172" fontId="1" fillId="0" borderId="0" xfId="0" applyNumberFormat="1" applyFont="1"/>
    <xf numFmtId="5" fontId="16" fillId="2" borderId="2" xfId="0" applyNumberFormat="1" applyFont="1" applyFill="1" applyBorder="1" applyAlignment="1">
      <alignment horizontal="center" vertical="center"/>
    </xf>
    <xf numFmtId="5" fontId="16" fillId="2" borderId="21" xfId="0" applyNumberFormat="1" applyFont="1" applyFill="1" applyBorder="1" applyAlignment="1">
      <alignment horizontal="center" vertical="center"/>
    </xf>
    <xf numFmtId="5" fontId="16" fillId="2" borderId="1" xfId="0" applyNumberFormat="1" applyFont="1" applyFill="1" applyBorder="1" applyAlignment="1">
      <alignment horizontal="center" vertical="center"/>
    </xf>
    <xf numFmtId="164" fontId="13" fillId="0" borderId="0" xfId="1" applyNumberFormat="1" applyFont="1"/>
    <xf numFmtId="164" fontId="13" fillId="0" borderId="0" xfId="0" applyNumberFormat="1" applyFont="1" applyFill="1" applyAlignment="1">
      <alignment vertical="top"/>
    </xf>
    <xf numFmtId="0" fontId="18" fillId="0" borderId="0" xfId="0" applyFont="1" applyFill="1"/>
    <xf numFmtId="0" fontId="14" fillId="0" borderId="0" xfId="0" applyFont="1" applyFill="1"/>
    <xf numFmtId="0" fontId="21" fillId="6" borderId="0" xfId="0" applyFont="1" applyFill="1"/>
    <xf numFmtId="9" fontId="13" fillId="6" borderId="0" xfId="0" applyNumberFormat="1" applyFont="1" applyFill="1"/>
    <xf numFmtId="0" fontId="13" fillId="0" borderId="0" xfId="0" applyFont="1" applyFill="1" applyAlignment="1">
      <alignment wrapText="1"/>
    </xf>
    <xf numFmtId="0" fontId="14" fillId="0" borderId="0" xfId="0" applyFont="1" applyFill="1" applyAlignment="1">
      <alignment wrapText="1"/>
    </xf>
    <xf numFmtId="164" fontId="14" fillId="0" borderId="0" xfId="1" applyNumberFormat="1" applyFont="1" applyFill="1" applyAlignment="1"/>
    <xf numFmtId="164" fontId="11" fillId="15" borderId="0" xfId="1" applyNumberFormat="1" applyFont="1" applyFill="1" applyAlignment="1">
      <alignment wrapText="1"/>
    </xf>
    <xf numFmtId="164" fontId="13" fillId="15" borderId="0" xfId="1" applyNumberFormat="1" applyFont="1" applyFill="1" applyAlignment="1">
      <alignment wrapText="1"/>
    </xf>
    <xf numFmtId="0" fontId="11" fillId="15" borderId="0" xfId="0" applyFont="1" applyFill="1" applyAlignment="1">
      <alignment horizontal="right" wrapText="1"/>
    </xf>
    <xf numFmtId="170" fontId="13" fillId="15" borderId="0" xfId="1" applyNumberFormat="1" applyFont="1" applyFill="1" applyAlignment="1">
      <alignment wrapText="1"/>
    </xf>
    <xf numFmtId="44" fontId="13" fillId="15" borderId="0" xfId="1" applyNumberFormat="1" applyFont="1" applyFill="1" applyAlignment="1">
      <alignment wrapText="1"/>
    </xf>
    <xf numFmtId="164" fontId="1" fillId="15" borderId="0" xfId="1" applyNumberFormat="1" applyFont="1" applyFill="1" applyAlignment="1">
      <alignment wrapText="1"/>
    </xf>
    <xf numFmtId="175" fontId="13" fillId="0" borderId="0" xfId="0" applyNumberFormat="1" applyFont="1"/>
    <xf numFmtId="0" fontId="10" fillId="3" borderId="2" xfId="3" applyFont="1" applyFill="1" applyBorder="1" applyAlignment="1">
      <alignment horizontal="center" wrapText="1"/>
    </xf>
    <xf numFmtId="164" fontId="13" fillId="0" borderId="0" xfId="1" applyNumberFormat="1" applyFont="1" applyFill="1"/>
    <xf numFmtId="0" fontId="10" fillId="3" borderId="35" xfId="3" applyFont="1" applyFill="1" applyBorder="1" applyAlignment="1">
      <alignment horizontal="center" wrapText="1"/>
    </xf>
    <xf numFmtId="2" fontId="22" fillId="0" borderId="0" xfId="0" applyNumberFormat="1" applyFont="1" applyFill="1"/>
    <xf numFmtId="0" fontId="22" fillId="0" borderId="0" xfId="0" applyFont="1" applyFill="1"/>
    <xf numFmtId="0" fontId="11" fillId="0" borderId="0" xfId="0" applyFont="1" applyFill="1"/>
    <xf numFmtId="171" fontId="22" fillId="0" borderId="0" xfId="1" applyNumberFormat="1" applyFont="1" applyFill="1"/>
    <xf numFmtId="7" fontId="11" fillId="0" borderId="0" xfId="0" applyNumberFormat="1" applyFont="1" applyFill="1"/>
    <xf numFmtId="175" fontId="11" fillId="0" borderId="0" xfId="0" applyNumberFormat="1" applyFont="1" applyFill="1"/>
    <xf numFmtId="5" fontId="22" fillId="0" borderId="0" xfId="0" applyNumberFormat="1" applyFont="1" applyFill="1"/>
    <xf numFmtId="172" fontId="11" fillId="0" borderId="0" xfId="0" applyNumberFormat="1" applyFont="1" applyFill="1"/>
    <xf numFmtId="171" fontId="11" fillId="0" borderId="0" xfId="0" applyNumberFormat="1" applyFont="1" applyFill="1"/>
    <xf numFmtId="5" fontId="11" fillId="0" borderId="0" xfId="0" applyNumberFormat="1" applyFont="1" applyFill="1"/>
    <xf numFmtId="164" fontId="11" fillId="0" borderId="0" xfId="0" applyNumberFormat="1" applyFont="1" applyFill="1"/>
    <xf numFmtId="173" fontId="11" fillId="0" borderId="0" xfId="0" applyNumberFormat="1" applyFont="1" applyFill="1"/>
    <xf numFmtId="5" fontId="23" fillId="0" borderId="0" xfId="0" applyNumberFormat="1" applyFont="1" applyFill="1"/>
    <xf numFmtId="5" fontId="17" fillId="0" borderId="0" xfId="0" applyNumberFormat="1" applyFont="1" applyFill="1"/>
    <xf numFmtId="0" fontId="23" fillId="0" borderId="0" xfId="0" applyFont="1" applyFill="1"/>
    <xf numFmtId="9" fontId="11" fillId="0" borderId="0" xfId="8" applyFont="1"/>
    <xf numFmtId="173" fontId="11" fillId="0" borderId="0" xfId="0" applyNumberFormat="1" applyFont="1"/>
    <xf numFmtId="172" fontId="11" fillId="0" borderId="0" xfId="0" applyNumberFormat="1" applyFont="1"/>
    <xf numFmtId="5" fontId="11" fillId="0" borderId="0" xfId="0" applyNumberFormat="1" applyFont="1"/>
    <xf numFmtId="164" fontId="13" fillId="0" borderId="42" xfId="0" applyNumberFormat="1" applyFont="1" applyFill="1" applyBorder="1"/>
    <xf numFmtId="164" fontId="13" fillId="0" borderId="6" xfId="0" applyNumberFormat="1" applyFont="1" applyFill="1" applyBorder="1"/>
    <xf numFmtId="164" fontId="13" fillId="0" borderId="45" xfId="0" applyNumberFormat="1" applyFont="1" applyFill="1" applyBorder="1"/>
    <xf numFmtId="5" fontId="13" fillId="6" borderId="0" xfId="0" applyNumberFormat="1" applyFont="1" applyFill="1"/>
    <xf numFmtId="0" fontId="24" fillId="0" borderId="0" xfId="0" applyFont="1" applyFill="1"/>
    <xf numFmtId="0" fontId="25" fillId="0" borderId="0" xfId="0" applyFont="1" applyFill="1"/>
    <xf numFmtId="172" fontId="25" fillId="0" borderId="0" xfId="0" applyNumberFormat="1" applyFont="1" applyFill="1"/>
    <xf numFmtId="171" fontId="25" fillId="0" borderId="0" xfId="1" applyNumberFormat="1" applyFont="1" applyFill="1"/>
    <xf numFmtId="175" fontId="25" fillId="0" borderId="0" xfId="0" applyNumberFormat="1" applyFont="1" applyFill="1"/>
    <xf numFmtId="7" fontId="24" fillId="0" borderId="0" xfId="0" applyNumberFormat="1" applyFont="1" applyFill="1"/>
    <xf numFmtId="175" fontId="24" fillId="0" borderId="0" xfId="0" applyNumberFormat="1" applyFont="1" applyFill="1"/>
    <xf numFmtId="171" fontId="26" fillId="0" borderId="0" xfId="1" applyNumberFormat="1" applyFont="1" applyFill="1"/>
    <xf numFmtId="0" fontId="26" fillId="0" borderId="0" xfId="0" applyFont="1" applyFill="1"/>
    <xf numFmtId="175" fontId="26" fillId="0" borderId="0" xfId="0" applyNumberFormat="1" applyFont="1" applyFill="1"/>
    <xf numFmtId="175" fontId="25" fillId="0" borderId="0" xfId="8" applyNumberFormat="1" applyFont="1" applyFill="1"/>
    <xf numFmtId="9" fontId="25" fillId="0" borderId="0" xfId="8" applyFont="1" applyFill="1"/>
    <xf numFmtId="171" fontId="25" fillId="0" borderId="0" xfId="0" applyNumberFormat="1" applyFont="1" applyFill="1"/>
    <xf numFmtId="0" fontId="12" fillId="5" borderId="24"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26" xfId="3" applyFont="1" applyFill="1" applyBorder="1" applyAlignment="1">
      <alignment horizontal="center" vertical="center" wrapText="1"/>
    </xf>
    <xf numFmtId="5" fontId="13" fillId="5" borderId="24" xfId="0" applyNumberFormat="1" applyFont="1" applyFill="1" applyBorder="1" applyAlignment="1">
      <alignment horizontal="center" vertical="center"/>
    </xf>
    <xf numFmtId="5" fontId="13" fillId="5" borderId="25" xfId="0" applyNumberFormat="1" applyFont="1" applyFill="1" applyBorder="1" applyAlignment="1">
      <alignment horizontal="center" vertical="center"/>
    </xf>
    <xf numFmtId="5" fontId="13" fillId="5" borderId="26" xfId="0" applyNumberFormat="1" applyFont="1" applyFill="1" applyBorder="1" applyAlignment="1">
      <alignment horizontal="center" vertical="center"/>
    </xf>
    <xf numFmtId="9" fontId="13" fillId="5" borderId="32" xfId="8" applyFont="1" applyFill="1" applyBorder="1" applyAlignment="1">
      <alignment horizontal="center" vertical="center"/>
    </xf>
    <xf numFmtId="9" fontId="13" fillId="5" borderId="33" xfId="8" applyFont="1" applyFill="1" applyBorder="1" applyAlignment="1">
      <alignment horizontal="center" vertical="center"/>
    </xf>
    <xf numFmtId="9" fontId="13" fillId="5" borderId="34" xfId="8" applyFont="1" applyFill="1" applyBorder="1" applyAlignment="1">
      <alignment horizontal="center" vertical="center"/>
    </xf>
    <xf numFmtId="0" fontId="12" fillId="6" borderId="24"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6" borderId="26" xfId="3" applyFont="1" applyFill="1" applyBorder="1" applyAlignment="1">
      <alignment horizontal="center" vertical="center" wrapText="1"/>
    </xf>
    <xf numFmtId="5" fontId="13" fillId="6" borderId="24" xfId="0" applyNumberFormat="1" applyFont="1" applyFill="1" applyBorder="1" applyAlignment="1">
      <alignment horizontal="center" vertical="center"/>
    </xf>
    <xf numFmtId="5" fontId="13" fillId="6" borderId="25" xfId="0" applyNumberFormat="1" applyFont="1" applyFill="1" applyBorder="1" applyAlignment="1">
      <alignment horizontal="center" vertical="center"/>
    </xf>
    <xf numFmtId="5" fontId="13" fillId="6" borderId="26" xfId="0" applyNumberFormat="1" applyFont="1" applyFill="1" applyBorder="1" applyAlignment="1">
      <alignment horizontal="center" vertical="center"/>
    </xf>
    <xf numFmtId="9" fontId="13" fillId="6" borderId="32" xfId="8" applyFont="1" applyFill="1" applyBorder="1" applyAlignment="1">
      <alignment horizontal="center" vertical="center"/>
    </xf>
    <xf numFmtId="9" fontId="13" fillId="6" borderId="33" xfId="8" applyFont="1" applyFill="1" applyBorder="1" applyAlignment="1">
      <alignment horizontal="center" vertical="center"/>
    </xf>
    <xf numFmtId="9" fontId="13" fillId="6" borderId="34" xfId="8" applyFont="1" applyFill="1" applyBorder="1" applyAlignment="1">
      <alignment horizontal="center" vertical="center"/>
    </xf>
    <xf numFmtId="9" fontId="13" fillId="8" borderId="24" xfId="8" applyFont="1" applyFill="1" applyBorder="1" applyAlignment="1">
      <alignment horizontal="center" vertical="center" wrapText="1"/>
    </xf>
    <xf numFmtId="9" fontId="13" fillId="8" borderId="25" xfId="8" applyFont="1" applyFill="1" applyBorder="1" applyAlignment="1">
      <alignment horizontal="center" vertical="center" wrapText="1"/>
    </xf>
    <xf numFmtId="9" fontId="13" fillId="8" borderId="26" xfId="8" applyFont="1" applyFill="1" applyBorder="1" applyAlignment="1">
      <alignment horizontal="center" vertical="center" wrapText="1"/>
    </xf>
    <xf numFmtId="5" fontId="13" fillId="8" borderId="28" xfId="0" applyNumberFormat="1" applyFont="1" applyFill="1" applyBorder="1" applyAlignment="1">
      <alignment horizontal="center" vertical="center"/>
    </xf>
    <xf numFmtId="5" fontId="13" fillId="8" borderId="29" xfId="0" applyNumberFormat="1" applyFont="1" applyFill="1" applyBorder="1" applyAlignment="1">
      <alignment horizontal="center" vertical="center"/>
    </xf>
    <xf numFmtId="5" fontId="13" fillId="8" borderId="30" xfId="0" applyNumberFormat="1" applyFont="1" applyFill="1" applyBorder="1" applyAlignment="1">
      <alignment horizontal="center" vertical="center"/>
    </xf>
    <xf numFmtId="5" fontId="13" fillId="8" borderId="24" xfId="0" applyNumberFormat="1" applyFont="1" applyFill="1" applyBorder="1" applyAlignment="1">
      <alignment horizontal="center" vertical="center"/>
    </xf>
    <xf numFmtId="5" fontId="13" fillId="8" borderId="25" xfId="0" applyNumberFormat="1" applyFont="1" applyFill="1" applyBorder="1" applyAlignment="1">
      <alignment horizontal="center" vertical="center"/>
    </xf>
    <xf numFmtId="5" fontId="13" fillId="8" borderId="26" xfId="0" applyNumberFormat="1" applyFont="1" applyFill="1" applyBorder="1" applyAlignment="1">
      <alignment horizontal="center" vertical="center"/>
    </xf>
    <xf numFmtId="5" fontId="13" fillId="8" borderId="8" xfId="0" applyNumberFormat="1" applyFont="1" applyFill="1" applyBorder="1" applyAlignment="1">
      <alignment horizontal="center" vertical="center"/>
    </xf>
    <xf numFmtId="5" fontId="13" fillId="8" borderId="9" xfId="0" applyNumberFormat="1" applyFont="1" applyFill="1" applyBorder="1" applyAlignment="1">
      <alignment horizontal="center" vertical="center"/>
    </xf>
    <xf numFmtId="5" fontId="13" fillId="8" borderId="12" xfId="0" applyNumberFormat="1" applyFont="1" applyFill="1" applyBorder="1" applyAlignment="1">
      <alignment horizontal="center" vertical="center"/>
    </xf>
    <xf numFmtId="9" fontId="13" fillId="6" borderId="24" xfId="8" applyFont="1" applyFill="1" applyBorder="1" applyAlignment="1">
      <alignment horizontal="center" vertical="center"/>
    </xf>
    <xf numFmtId="9" fontId="13" fillId="6" borderId="25" xfId="8" applyFont="1" applyFill="1" applyBorder="1" applyAlignment="1">
      <alignment horizontal="center" vertical="center"/>
    </xf>
    <xf numFmtId="9" fontId="13" fillId="6" borderId="26" xfId="8" applyFont="1" applyFill="1" applyBorder="1" applyAlignment="1">
      <alignment horizontal="center" vertical="center"/>
    </xf>
    <xf numFmtId="9" fontId="13" fillId="5" borderId="24" xfId="8" applyFont="1" applyFill="1" applyBorder="1" applyAlignment="1">
      <alignment horizontal="center" vertical="center"/>
    </xf>
    <xf numFmtId="9" fontId="13" fillId="5" borderId="25" xfId="8" applyFont="1" applyFill="1" applyBorder="1" applyAlignment="1">
      <alignment horizontal="center" vertical="center"/>
    </xf>
    <xf numFmtId="9" fontId="13" fillId="5" borderId="26" xfId="8" applyFont="1" applyFill="1" applyBorder="1" applyAlignment="1">
      <alignment horizontal="center" vertical="center"/>
    </xf>
    <xf numFmtId="5" fontId="13" fillId="5" borderId="8" xfId="0" applyNumberFormat="1" applyFont="1" applyFill="1" applyBorder="1" applyAlignment="1">
      <alignment horizontal="center" vertical="center"/>
    </xf>
    <xf numFmtId="5" fontId="13" fillId="5" borderId="9" xfId="0" applyNumberFormat="1" applyFont="1" applyFill="1" applyBorder="1" applyAlignment="1">
      <alignment horizontal="center" vertical="center"/>
    </xf>
    <xf numFmtId="5" fontId="13" fillId="5" borderId="12" xfId="0" applyNumberFormat="1" applyFont="1" applyFill="1" applyBorder="1" applyAlignment="1">
      <alignment horizontal="center" vertical="center"/>
    </xf>
    <xf numFmtId="5" fontId="13" fillId="6" borderId="8" xfId="0" applyNumberFormat="1" applyFont="1" applyFill="1" applyBorder="1" applyAlignment="1">
      <alignment horizontal="center" vertical="center"/>
    </xf>
    <xf numFmtId="5" fontId="13" fillId="6" borderId="9" xfId="0" applyNumberFormat="1" applyFont="1" applyFill="1" applyBorder="1" applyAlignment="1">
      <alignment horizontal="center" vertical="center"/>
    </xf>
    <xf numFmtId="5" fontId="13" fillId="6" borderId="12" xfId="0" applyNumberFormat="1" applyFont="1" applyFill="1" applyBorder="1" applyAlignment="1">
      <alignment horizontal="center" vertical="center"/>
    </xf>
    <xf numFmtId="5" fontId="13" fillId="5" borderId="28" xfId="0" applyNumberFormat="1" applyFont="1" applyFill="1" applyBorder="1" applyAlignment="1">
      <alignment horizontal="center" vertical="center"/>
    </xf>
    <xf numFmtId="5" fontId="13" fillId="5" borderId="29" xfId="0" applyNumberFormat="1" applyFont="1" applyFill="1" applyBorder="1" applyAlignment="1">
      <alignment horizontal="center" vertical="center"/>
    </xf>
    <xf numFmtId="5" fontId="13" fillId="5" borderId="30" xfId="0" applyNumberFormat="1" applyFont="1" applyFill="1" applyBorder="1" applyAlignment="1">
      <alignment horizontal="center" vertical="center"/>
    </xf>
    <xf numFmtId="0" fontId="12" fillId="8" borderId="24" xfId="3" applyFont="1" applyFill="1" applyBorder="1" applyAlignment="1">
      <alignment horizontal="center" vertical="center" wrapText="1"/>
    </xf>
    <xf numFmtId="0" fontId="12" fillId="8" borderId="25" xfId="3" applyFont="1" applyFill="1" applyBorder="1" applyAlignment="1">
      <alignment horizontal="center" vertical="center" wrapText="1"/>
    </xf>
    <xf numFmtId="0" fontId="12" fillId="8" borderId="26" xfId="3" applyFont="1" applyFill="1" applyBorder="1" applyAlignment="1">
      <alignment horizontal="center" vertical="center" wrapText="1"/>
    </xf>
    <xf numFmtId="9" fontId="13" fillId="8" borderId="32" xfId="8" applyFont="1" applyFill="1" applyBorder="1" applyAlignment="1">
      <alignment horizontal="center" vertical="center" wrapText="1"/>
    </xf>
    <xf numFmtId="9" fontId="13" fillId="8" borderId="33" xfId="8" applyFont="1" applyFill="1" applyBorder="1" applyAlignment="1">
      <alignment horizontal="center" vertical="center" wrapText="1"/>
    </xf>
    <xf numFmtId="9" fontId="13" fillId="8" borderId="34" xfId="8" applyFont="1" applyFill="1" applyBorder="1" applyAlignment="1">
      <alignment horizontal="center" vertical="center" wrapText="1"/>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0" fillId="0" borderId="0" xfId="0" applyFill="1" applyAlignment="1">
      <alignment horizontal="center"/>
    </xf>
    <xf numFmtId="0" fontId="10" fillId="3" borderId="10" xfId="3" applyFont="1" applyFill="1" applyBorder="1" applyAlignment="1">
      <alignment horizontal="center" vertical="center" wrapText="1"/>
    </xf>
    <xf numFmtId="0" fontId="10" fillId="3" borderId="11" xfId="3" applyFont="1" applyFill="1" applyBorder="1" applyAlignment="1">
      <alignment horizontal="center" vertical="center" wrapText="1"/>
    </xf>
    <xf numFmtId="0" fontId="0" fillId="0" borderId="0" xfId="0" applyAlignment="1">
      <alignment horizontal="center"/>
    </xf>
    <xf numFmtId="0" fontId="10" fillId="3" borderId="31" xfId="3" applyFont="1" applyFill="1" applyBorder="1" applyAlignment="1">
      <alignment horizontal="center" vertical="center" wrapText="1"/>
    </xf>
    <xf numFmtId="0" fontId="10" fillId="3" borderId="35" xfId="3" applyFont="1" applyFill="1" applyBorder="1" applyAlignment="1">
      <alignment horizontal="center" vertical="center" wrapText="1"/>
    </xf>
    <xf numFmtId="5" fontId="13" fillId="6" borderId="28" xfId="0" applyNumberFormat="1" applyFont="1" applyFill="1" applyBorder="1" applyAlignment="1">
      <alignment horizontal="center" vertical="center"/>
    </xf>
    <xf numFmtId="5" fontId="13" fillId="6" borderId="29" xfId="0" applyNumberFormat="1" applyFont="1" applyFill="1" applyBorder="1" applyAlignment="1">
      <alignment horizontal="center" vertical="center"/>
    </xf>
    <xf numFmtId="5" fontId="13" fillId="6" borderId="30" xfId="0" applyNumberFormat="1" applyFont="1" applyFill="1" applyBorder="1" applyAlignment="1">
      <alignment horizontal="center" vertical="center"/>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1" xfId="0" applyFont="1" applyFill="1" applyBorder="1" applyAlignment="1">
      <alignment horizontal="center" wrapText="1"/>
    </xf>
    <xf numFmtId="0" fontId="17" fillId="5" borderId="0" xfId="0" applyFont="1" applyFill="1" applyAlignment="1">
      <alignment horizontal="center"/>
    </xf>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7" xfId="0" applyFont="1" applyFill="1" applyBorder="1" applyAlignment="1">
      <alignment horizontal="center"/>
    </xf>
    <xf numFmtId="5" fontId="13" fillId="18" borderId="3" xfId="0" applyNumberFormat="1" applyFont="1" applyFill="1" applyBorder="1" applyAlignment="1">
      <alignment horizontal="center" vertical="center"/>
    </xf>
    <xf numFmtId="5" fontId="13" fillId="18" borderId="4" xfId="0" applyNumberFormat="1" applyFont="1" applyFill="1" applyBorder="1" applyAlignment="1">
      <alignment horizontal="center" vertical="center"/>
    </xf>
    <xf numFmtId="5" fontId="13" fillId="18" borderId="1" xfId="0" applyNumberFormat="1" applyFont="1" applyFill="1" applyBorder="1" applyAlignment="1">
      <alignment horizontal="center" vertical="center"/>
    </xf>
    <xf numFmtId="0" fontId="10" fillId="3" borderId="2" xfId="3" applyFont="1" applyFill="1" applyBorder="1" applyAlignment="1">
      <alignment horizontal="center" wrapText="1"/>
    </xf>
    <xf numFmtId="5" fontId="1" fillId="14" borderId="3" xfId="0" applyNumberFormat="1" applyFont="1" applyFill="1" applyBorder="1" applyAlignment="1">
      <alignment horizontal="left" vertical="center" wrapText="1"/>
    </xf>
    <xf numFmtId="5" fontId="13" fillId="14" borderId="4" xfId="0" applyNumberFormat="1" applyFont="1" applyFill="1" applyBorder="1" applyAlignment="1">
      <alignment horizontal="left" vertical="center" wrapText="1"/>
    </xf>
    <xf numFmtId="5" fontId="13" fillId="14" borderId="1" xfId="0" applyNumberFormat="1" applyFont="1" applyFill="1" applyBorder="1" applyAlignment="1">
      <alignment horizontal="left" vertical="center" wrapText="1"/>
    </xf>
    <xf numFmtId="0" fontId="16" fillId="13" borderId="36"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3" borderId="3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8"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3" fillId="11" borderId="3" xfId="0" applyFont="1" applyFill="1" applyBorder="1" applyAlignment="1">
      <alignment horizontal="center"/>
    </xf>
    <xf numFmtId="0" fontId="13" fillId="11" borderId="4" xfId="0" applyFont="1" applyFill="1" applyBorder="1" applyAlignment="1">
      <alignment horizontal="center"/>
    </xf>
    <xf numFmtId="0" fontId="13" fillId="11" borderId="1" xfId="0" applyFont="1" applyFill="1" applyBorder="1" applyAlignment="1">
      <alignment horizontal="center"/>
    </xf>
  </cellXfs>
  <cellStyles count="18">
    <cellStyle name="Comma" xfId="7" builtinId="3"/>
    <cellStyle name="Comma 2" xfId="6"/>
    <cellStyle name="Currency" xfId="1" builtinId="4"/>
    <cellStyle name="Currency 2" xfId="2"/>
    <cellStyle name="Currency 4" xfId="17"/>
    <cellStyle name="Followed Hyperlink" xfId="10" builtinId="9" hidden="1"/>
    <cellStyle name="Followed Hyperlink" xfId="12" builtinId="9" hidden="1"/>
    <cellStyle name="Followed Hyperlink" xfId="14" builtinId="9" hidden="1"/>
    <cellStyle name="Followed Hyperlink" xfId="16" builtinId="9" hidden="1"/>
    <cellStyle name="Hyperlink" xfId="9" builtinId="8" hidden="1"/>
    <cellStyle name="Hyperlink" xfId="11" builtinId="8" hidden="1"/>
    <cellStyle name="Hyperlink" xfId="13" builtinId="8" hidden="1"/>
    <cellStyle name="Hyperlink" xfId="15" builtinId="8" hidden="1"/>
    <cellStyle name="Normal" xfId="0" builtinId="0"/>
    <cellStyle name="Normal 2" xfId="3"/>
    <cellStyle name="Percent" xfId="8" builtinId="5"/>
    <cellStyle name="Percent 2" xfId="4"/>
    <cellStyle name="Percent 3" xfId="5"/>
  </cellStyles>
  <dxfs count="4">
    <dxf>
      <fill>
        <patternFill>
          <bgColor theme="6" tint="0.59996337778862885"/>
        </patternFill>
      </fill>
    </dxf>
    <dxf>
      <fill>
        <patternFill>
          <bgColor theme="5" tint="0.79998168889431442"/>
        </patternFill>
      </fill>
    </dxf>
    <dxf>
      <font>
        <color rgb="FF00B050"/>
      </font>
    </dxf>
    <dxf>
      <font>
        <color rgb="FFC00000"/>
      </font>
      <fill>
        <patternFill>
          <bgColor theme="5" tint="0.79998168889431442"/>
        </patternFill>
      </fill>
    </dxf>
  </dxfs>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3-Year</a:t>
            </a:r>
            <a:r>
              <a:rPr lang="en-US" baseline="0"/>
              <a:t> </a:t>
            </a:r>
            <a:r>
              <a:rPr lang="en-US"/>
              <a:t>RTF Budgets (not including Council In-Kind Contribution)</a:t>
            </a:r>
          </a:p>
        </c:rich>
      </c:tx>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(2018)'!$B$14</c:f>
              <c:strCache>
                <c:ptCount val="1"/>
                <c:pt idx="0">
                  <c:v>RTF Management</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(2018)'!$T$14,'Category (2018)'!$M$14,'Category (2018)'!$F$14)</c:f>
              <c:numCache>
                <c:formatCode>"$"#,##0_);\("$"#,##0\)</c:formatCode>
                <c:ptCount val="3"/>
                <c:pt idx="0">
                  <c:v>143300</c:v>
                </c:pt>
                <c:pt idx="1">
                  <c:v>156300</c:v>
                </c:pt>
                <c:pt idx="2">
                  <c:v>157300</c:v>
                </c:pt>
              </c:numCache>
            </c:numRef>
          </c:val>
        </c:ser>
        <c:ser>
          <c:idx val="7"/>
          <c:order val="1"/>
          <c:tx>
            <c:strRef>
              <c:f>'Category (2018)'!$B$13</c:f>
              <c:strCache>
                <c:ptCount val="1"/>
                <c:pt idx="0">
                  <c:v>RTF Member Support &amp; Administration</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(2018)'!$T$13,'Category (2018)'!$M$13,'Category (2018)'!$F$13)</c:f>
              <c:numCache>
                <c:formatCode>"$"#,##0_);\("$"#,##0\)</c:formatCode>
                <c:ptCount val="3"/>
                <c:pt idx="0">
                  <c:v>234200</c:v>
                </c:pt>
                <c:pt idx="1">
                  <c:v>240000</c:v>
                </c:pt>
                <c:pt idx="2">
                  <c:v>261900</c:v>
                </c:pt>
              </c:numCache>
            </c:numRef>
          </c:val>
        </c:ser>
        <c:ser>
          <c:idx val="6"/>
          <c:order val="2"/>
          <c:tx>
            <c:strRef>
              <c:f>'Category (2018)'!$B$12</c:f>
              <c:strCache>
                <c:ptCount val="1"/>
                <c:pt idx="0">
                  <c:v>Website, Database support, Conservation Tracking </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(2018)'!$T$12,'Category (2018)'!$M$12,'Category (2018)'!$F$12)</c:f>
              <c:numCache>
                <c:formatCode>"$"#,##0_);\("$"#,##0\)</c:formatCode>
                <c:ptCount val="3"/>
                <c:pt idx="0">
                  <c:v>80000</c:v>
                </c:pt>
                <c:pt idx="1">
                  <c:v>80000</c:v>
                </c:pt>
                <c:pt idx="2">
                  <c:v>75000</c:v>
                </c:pt>
              </c:numCache>
            </c:numRef>
          </c:val>
        </c:ser>
        <c:ser>
          <c:idx val="5"/>
          <c:order val="3"/>
          <c:tx>
            <c:strRef>
              <c:f>'Category (2018)'!$B$11</c:f>
              <c:strCache>
                <c:ptCount val="1"/>
                <c:pt idx="0">
                  <c:v>Regional Coordination (Research and Data Development)</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(2018)'!$T$11,'Category (2018)'!$M$11,'Category (2018)'!$F$11)</c:f>
              <c:numCache>
                <c:formatCode>"$"#,##0_);\("$"#,##0\)</c:formatCode>
                <c:ptCount val="3"/>
                <c:pt idx="0">
                  <c:v>150000</c:v>
                </c:pt>
                <c:pt idx="1">
                  <c:v>135000</c:v>
                </c:pt>
                <c:pt idx="2">
                  <c:v>285000</c:v>
                </c:pt>
              </c:numCache>
            </c:numRef>
          </c:val>
        </c:ser>
        <c:ser>
          <c:idx val="4"/>
          <c:order val="4"/>
          <c:tx>
            <c:strRef>
              <c:f>'Category (2018)'!$B$10</c:f>
              <c:strCache>
                <c:ptCount val="1"/>
                <c:pt idx="0">
                  <c:v>Research Projects &amp; Data Development</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(2018)'!$T$10,'Category (2018)'!$M$10,'Category (2018)'!$F$10)</c:f>
              <c:numCache>
                <c:formatCode>"$"#,##0_);\("$"#,##0\)</c:formatCode>
                <c:ptCount val="3"/>
                <c:pt idx="0">
                  <c:v>0</c:v>
                </c:pt>
                <c:pt idx="1">
                  <c:v>0</c:v>
                </c:pt>
                <c:pt idx="2">
                  <c:v>0</c:v>
                </c:pt>
              </c:numCache>
            </c:numRef>
          </c:val>
        </c:ser>
        <c:ser>
          <c:idx val="3"/>
          <c:order val="5"/>
          <c:tx>
            <c:strRef>
              <c:f>'Category (2018)'!$B$9</c:f>
              <c:strCache>
                <c:ptCount val="1"/>
                <c:pt idx="0">
                  <c:v>Tool Development</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(2018)'!$T$9,'Category (2018)'!$M$9,'Category (2018)'!$F$9)</c:f>
              <c:numCache>
                <c:formatCode>"$"#,##0_);\("$"#,##0\)</c:formatCode>
                <c:ptCount val="3"/>
                <c:pt idx="0">
                  <c:v>70000</c:v>
                </c:pt>
                <c:pt idx="1">
                  <c:v>20000</c:v>
                </c:pt>
                <c:pt idx="2">
                  <c:v>50000</c:v>
                </c:pt>
              </c:numCache>
            </c:numRef>
          </c:val>
        </c:ser>
        <c:ser>
          <c:idx val="0"/>
          <c:order val="6"/>
          <c:tx>
            <c:strRef>
              <c:f>'Category (2018)'!$B$8</c:f>
              <c:strCache>
                <c:ptCount val="1"/>
                <c:pt idx="0">
                  <c:v>Standardization of Technical Analysis</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(2018)'!$T$8,'Category (2018)'!$M$8,'Category (2018)'!$F$8)</c:f>
              <c:numCache>
                <c:formatCode>"$"#,##0_);\("$"#,##0\)</c:formatCode>
                <c:ptCount val="3"/>
                <c:pt idx="0">
                  <c:v>205000</c:v>
                </c:pt>
                <c:pt idx="1">
                  <c:v>350000</c:v>
                </c:pt>
                <c:pt idx="2">
                  <c:v>193500</c:v>
                </c:pt>
              </c:numCache>
            </c:numRef>
          </c:val>
        </c:ser>
        <c:ser>
          <c:idx val="1"/>
          <c:order val="7"/>
          <c:tx>
            <c:strRef>
              <c:f>'Category (2018)'!$B$7</c:f>
              <c:strCache>
                <c:ptCount val="1"/>
                <c:pt idx="0">
                  <c:v>New Measure Development &amp; Review of Unsolicited Proposals</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(2018)'!$T$7,'Category (2018)'!$M$7,'Category (2018)'!$F$7)</c:f>
              <c:numCache>
                <c:formatCode>"$"#,##0_);\("$"#,##0\)</c:formatCode>
                <c:ptCount val="3"/>
                <c:pt idx="0">
                  <c:v>328000</c:v>
                </c:pt>
                <c:pt idx="1">
                  <c:v>415500</c:v>
                </c:pt>
                <c:pt idx="2">
                  <c:v>344000</c:v>
                </c:pt>
              </c:numCache>
            </c:numRef>
          </c:val>
        </c:ser>
        <c:ser>
          <c:idx val="2"/>
          <c:order val="8"/>
          <c:tx>
            <c:strRef>
              <c:f>'Category (2018)'!$B$6</c:f>
              <c:strCache>
                <c:ptCount val="1"/>
                <c:pt idx="0">
                  <c:v>Existing Measure Review &amp; Updates</c:v>
                </c:pt>
              </c:strCache>
            </c:strRef>
          </c:tx>
          <c:invertIfNegative val="0"/>
          <c:cat>
            <c:strRef>
              <c:f>('Category (2018)'!$Q$4,'Category (2018)'!$J$4,'Category (2018)'!$C$4)</c:f>
              <c:strCache>
                <c:ptCount val="3"/>
                <c:pt idx="0">
                  <c:v>Approved 2016</c:v>
                </c:pt>
                <c:pt idx="1">
                  <c:v>Approved 2017</c:v>
                </c:pt>
                <c:pt idx="2">
                  <c:v>Proposed 2018</c:v>
                </c:pt>
              </c:strCache>
            </c:strRef>
          </c:cat>
          <c:val>
            <c:numRef>
              <c:f>('Category (2018)'!$T$6,'Category (2018)'!$M$6,'Category (2018)'!$F$6)</c:f>
              <c:numCache>
                <c:formatCode>"$"#,##0_);\("$"#,##0\)</c:formatCode>
                <c:ptCount val="3"/>
                <c:pt idx="0">
                  <c:v>452500</c:v>
                </c:pt>
                <c:pt idx="1">
                  <c:v>393000</c:v>
                </c:pt>
                <c:pt idx="2">
                  <c:v>467000</c:v>
                </c:pt>
              </c:numCache>
            </c:numRef>
          </c:val>
        </c:ser>
        <c:dLbls>
          <c:showLegendKey val="0"/>
          <c:showVal val="0"/>
          <c:showCatName val="0"/>
          <c:showSerName val="0"/>
          <c:showPercent val="0"/>
          <c:showBubbleSize val="0"/>
        </c:dLbls>
        <c:gapWidth val="27"/>
        <c:overlap val="100"/>
        <c:axId val="444364456"/>
        <c:axId val="444364848"/>
      </c:barChart>
      <c:catAx>
        <c:axId val="444364456"/>
        <c:scaling>
          <c:orientation val="minMax"/>
        </c:scaling>
        <c:delete val="0"/>
        <c:axPos val="b"/>
        <c:numFmt formatCode="General" sourceLinked="1"/>
        <c:majorTickMark val="out"/>
        <c:minorTickMark val="none"/>
        <c:tickLblPos val="nextTo"/>
        <c:txPr>
          <a:bodyPr/>
          <a:lstStyle/>
          <a:p>
            <a:pPr>
              <a:defRPr sz="1800" b="1"/>
            </a:pPr>
            <a:endParaRPr lang="en-US"/>
          </a:p>
        </c:txPr>
        <c:crossAx val="444364848"/>
        <c:crosses val="autoZero"/>
        <c:auto val="1"/>
        <c:lblAlgn val="ctr"/>
        <c:lblOffset val="100"/>
        <c:noMultiLvlLbl val="0"/>
      </c:catAx>
      <c:valAx>
        <c:axId val="444364848"/>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44364456"/>
        <c:crosses val="autoZero"/>
        <c:crossBetween val="between"/>
      </c:valAx>
    </c:plotArea>
    <c:legend>
      <c:legendPos val="r"/>
      <c:layout>
        <c:manualLayout>
          <c:xMode val="edge"/>
          <c:yMode val="edge"/>
          <c:x val="0.67786400441933559"/>
          <c:y val="0.17298899640971704"/>
          <c:w val="0.30870079421776886"/>
          <c:h val="0.72488254330810165"/>
        </c:manualLayout>
      </c:layout>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2-Year</a:t>
            </a:r>
            <a:r>
              <a:rPr lang="en-US" baseline="0"/>
              <a:t> </a:t>
            </a:r>
            <a:r>
              <a:rPr lang="en-US"/>
              <a:t>RTF Budgets (not including Council In-Kind Contribution)</a:t>
            </a:r>
          </a:p>
        </c:rich>
      </c:tx>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(2018)'!$B$14</c:f>
              <c:strCache>
                <c:ptCount val="1"/>
                <c:pt idx="0">
                  <c:v>RTF Management</c:v>
                </c:pt>
              </c:strCache>
            </c:strRef>
          </c:tx>
          <c:invertIfNegative val="0"/>
          <c:cat>
            <c:strRef>
              <c:f>('Category (2018)'!$J$4,'Category (2018)'!$C$4)</c:f>
              <c:strCache>
                <c:ptCount val="2"/>
                <c:pt idx="0">
                  <c:v>Approved 2017</c:v>
                </c:pt>
                <c:pt idx="1">
                  <c:v>Proposed 2018</c:v>
                </c:pt>
              </c:strCache>
            </c:strRef>
          </c:cat>
          <c:val>
            <c:numRef>
              <c:f>('Category (2018)'!$M$14,'Category (2018)'!$F$14)</c:f>
              <c:numCache>
                <c:formatCode>"$"#,##0_);\("$"#,##0\)</c:formatCode>
                <c:ptCount val="2"/>
                <c:pt idx="0">
                  <c:v>156300</c:v>
                </c:pt>
                <c:pt idx="1">
                  <c:v>157300</c:v>
                </c:pt>
              </c:numCache>
            </c:numRef>
          </c:val>
        </c:ser>
        <c:ser>
          <c:idx val="7"/>
          <c:order val="1"/>
          <c:tx>
            <c:v>Member Support &amp; Admin</c:v>
          </c:tx>
          <c:invertIfNegative val="0"/>
          <c:cat>
            <c:strRef>
              <c:f>('Category (2018)'!$J$4,'Category (2018)'!$C$4)</c:f>
              <c:strCache>
                <c:ptCount val="2"/>
                <c:pt idx="0">
                  <c:v>Approved 2017</c:v>
                </c:pt>
                <c:pt idx="1">
                  <c:v>Proposed 2018</c:v>
                </c:pt>
              </c:strCache>
            </c:strRef>
          </c:cat>
          <c:val>
            <c:numRef>
              <c:f>('Category (2018)'!$M$13,'Category (2018)'!$F$13)</c:f>
              <c:numCache>
                <c:formatCode>"$"#,##0_);\("$"#,##0\)</c:formatCode>
                <c:ptCount val="2"/>
                <c:pt idx="0">
                  <c:v>240000</c:v>
                </c:pt>
                <c:pt idx="1">
                  <c:v>261900</c:v>
                </c:pt>
              </c:numCache>
            </c:numRef>
          </c:val>
        </c:ser>
        <c:ser>
          <c:idx val="6"/>
          <c:order val="2"/>
          <c:tx>
            <c:v>Website, Database, &amp; RCP Support</c:v>
          </c:tx>
          <c:invertIfNegative val="0"/>
          <c:cat>
            <c:strRef>
              <c:f>('Category (2018)'!$J$4,'Category (2018)'!$C$4)</c:f>
              <c:strCache>
                <c:ptCount val="2"/>
                <c:pt idx="0">
                  <c:v>Approved 2017</c:v>
                </c:pt>
                <c:pt idx="1">
                  <c:v>Proposed 2018</c:v>
                </c:pt>
              </c:strCache>
            </c:strRef>
          </c:cat>
          <c:val>
            <c:numRef>
              <c:f>('Category (2018)'!$M$12,'Category (2018)'!$F$12)</c:f>
              <c:numCache>
                <c:formatCode>"$"#,##0_);\("$"#,##0\)</c:formatCode>
                <c:ptCount val="2"/>
                <c:pt idx="0">
                  <c:v>80000</c:v>
                </c:pt>
                <c:pt idx="1">
                  <c:v>75000</c:v>
                </c:pt>
              </c:numCache>
            </c:numRef>
          </c:val>
        </c:ser>
        <c:ser>
          <c:idx val="5"/>
          <c:order val="3"/>
          <c:tx>
            <c:v>Regional Coordination</c:v>
          </c:tx>
          <c:invertIfNegative val="0"/>
          <c:cat>
            <c:strRef>
              <c:f>('Category (2018)'!$J$4,'Category (2018)'!$C$4)</c:f>
              <c:strCache>
                <c:ptCount val="2"/>
                <c:pt idx="0">
                  <c:v>Approved 2017</c:v>
                </c:pt>
                <c:pt idx="1">
                  <c:v>Proposed 2018</c:v>
                </c:pt>
              </c:strCache>
            </c:strRef>
          </c:cat>
          <c:val>
            <c:numRef>
              <c:f>('Category (2018)'!$M$11,'Category (2018)'!$F$11)</c:f>
              <c:numCache>
                <c:formatCode>"$"#,##0_);\("$"#,##0\)</c:formatCode>
                <c:ptCount val="2"/>
                <c:pt idx="0">
                  <c:v>135000</c:v>
                </c:pt>
                <c:pt idx="1">
                  <c:v>285000</c:v>
                </c:pt>
              </c:numCache>
            </c:numRef>
          </c:val>
        </c:ser>
        <c:ser>
          <c:idx val="3"/>
          <c:order val="4"/>
          <c:tx>
            <c:strRef>
              <c:f>'Category (2018)'!$B$9</c:f>
              <c:strCache>
                <c:ptCount val="1"/>
                <c:pt idx="0">
                  <c:v>Tool Development</c:v>
                </c:pt>
              </c:strCache>
            </c:strRef>
          </c:tx>
          <c:invertIfNegative val="0"/>
          <c:cat>
            <c:strRef>
              <c:f>('Category (2018)'!$J$4,'Category (2018)'!$C$4)</c:f>
              <c:strCache>
                <c:ptCount val="2"/>
                <c:pt idx="0">
                  <c:v>Approved 2017</c:v>
                </c:pt>
                <c:pt idx="1">
                  <c:v>Proposed 2018</c:v>
                </c:pt>
              </c:strCache>
            </c:strRef>
          </c:cat>
          <c:val>
            <c:numRef>
              <c:f>('Category (2018)'!$M$9,'Category (2018)'!$F$9)</c:f>
              <c:numCache>
                <c:formatCode>"$"#,##0_);\("$"#,##0\)</c:formatCode>
                <c:ptCount val="2"/>
                <c:pt idx="0">
                  <c:v>20000</c:v>
                </c:pt>
                <c:pt idx="1">
                  <c:v>50000</c:v>
                </c:pt>
              </c:numCache>
            </c:numRef>
          </c:val>
        </c:ser>
        <c:ser>
          <c:idx val="0"/>
          <c:order val="5"/>
          <c:tx>
            <c:strRef>
              <c:f>'Category (2018)'!$B$8</c:f>
              <c:strCache>
                <c:ptCount val="1"/>
                <c:pt idx="0">
                  <c:v>Standardization of Technical Analysis</c:v>
                </c:pt>
              </c:strCache>
            </c:strRef>
          </c:tx>
          <c:invertIfNegative val="0"/>
          <c:cat>
            <c:strRef>
              <c:f>('Category (2018)'!$J$4,'Category (2018)'!$C$4)</c:f>
              <c:strCache>
                <c:ptCount val="2"/>
                <c:pt idx="0">
                  <c:v>Approved 2017</c:v>
                </c:pt>
                <c:pt idx="1">
                  <c:v>Proposed 2018</c:v>
                </c:pt>
              </c:strCache>
            </c:strRef>
          </c:cat>
          <c:val>
            <c:numRef>
              <c:f>('Category (2018)'!$M$8,'Category (2018)'!$F$8)</c:f>
              <c:numCache>
                <c:formatCode>"$"#,##0_);\("$"#,##0\)</c:formatCode>
                <c:ptCount val="2"/>
                <c:pt idx="0">
                  <c:v>350000</c:v>
                </c:pt>
                <c:pt idx="1">
                  <c:v>193500</c:v>
                </c:pt>
              </c:numCache>
            </c:numRef>
          </c:val>
        </c:ser>
        <c:ser>
          <c:idx val="1"/>
          <c:order val="6"/>
          <c:tx>
            <c:v>New Measure Development</c:v>
          </c:tx>
          <c:invertIfNegative val="0"/>
          <c:cat>
            <c:strRef>
              <c:f>('Category (2018)'!$J$4,'Category (2018)'!$C$4)</c:f>
              <c:strCache>
                <c:ptCount val="2"/>
                <c:pt idx="0">
                  <c:v>Approved 2017</c:v>
                </c:pt>
                <c:pt idx="1">
                  <c:v>Proposed 2018</c:v>
                </c:pt>
              </c:strCache>
            </c:strRef>
          </c:cat>
          <c:val>
            <c:numRef>
              <c:f>('Category (2018)'!$M$7,'Category (2018)'!$F$7)</c:f>
              <c:numCache>
                <c:formatCode>"$"#,##0_);\("$"#,##0\)</c:formatCode>
                <c:ptCount val="2"/>
                <c:pt idx="0">
                  <c:v>415500</c:v>
                </c:pt>
                <c:pt idx="1">
                  <c:v>344000</c:v>
                </c:pt>
              </c:numCache>
            </c:numRef>
          </c:val>
        </c:ser>
        <c:ser>
          <c:idx val="2"/>
          <c:order val="7"/>
          <c:tx>
            <c:strRef>
              <c:f>'Category (2018)'!$B$6</c:f>
              <c:strCache>
                <c:ptCount val="1"/>
                <c:pt idx="0">
                  <c:v>Existing Measure Review &amp; Updates</c:v>
                </c:pt>
              </c:strCache>
            </c:strRef>
          </c:tx>
          <c:invertIfNegative val="0"/>
          <c:cat>
            <c:strRef>
              <c:f>('Category (2018)'!$J$4,'Category (2018)'!$C$4)</c:f>
              <c:strCache>
                <c:ptCount val="2"/>
                <c:pt idx="0">
                  <c:v>Approved 2017</c:v>
                </c:pt>
                <c:pt idx="1">
                  <c:v>Proposed 2018</c:v>
                </c:pt>
              </c:strCache>
            </c:strRef>
          </c:cat>
          <c:val>
            <c:numRef>
              <c:f>('Category (2018)'!$M$6,'Category (2018)'!$F$6)</c:f>
              <c:numCache>
                <c:formatCode>"$"#,##0_);\("$"#,##0\)</c:formatCode>
                <c:ptCount val="2"/>
                <c:pt idx="0">
                  <c:v>393000</c:v>
                </c:pt>
                <c:pt idx="1">
                  <c:v>467000</c:v>
                </c:pt>
              </c:numCache>
            </c:numRef>
          </c:val>
        </c:ser>
        <c:dLbls>
          <c:showLegendKey val="0"/>
          <c:showVal val="0"/>
          <c:showCatName val="0"/>
          <c:showSerName val="0"/>
          <c:showPercent val="0"/>
          <c:showBubbleSize val="0"/>
        </c:dLbls>
        <c:gapWidth val="27"/>
        <c:overlap val="100"/>
        <c:axId val="448027824"/>
        <c:axId val="448066888"/>
      </c:barChart>
      <c:catAx>
        <c:axId val="448027824"/>
        <c:scaling>
          <c:orientation val="minMax"/>
        </c:scaling>
        <c:delete val="0"/>
        <c:axPos val="b"/>
        <c:numFmt formatCode="General" sourceLinked="1"/>
        <c:majorTickMark val="out"/>
        <c:minorTickMark val="none"/>
        <c:tickLblPos val="nextTo"/>
        <c:txPr>
          <a:bodyPr/>
          <a:lstStyle/>
          <a:p>
            <a:pPr>
              <a:defRPr sz="1800" b="1"/>
            </a:pPr>
            <a:endParaRPr lang="en-US"/>
          </a:p>
        </c:txPr>
        <c:crossAx val="448066888"/>
        <c:crosses val="autoZero"/>
        <c:auto val="1"/>
        <c:lblAlgn val="ctr"/>
        <c:lblOffset val="100"/>
        <c:noMultiLvlLbl val="0"/>
      </c:catAx>
      <c:valAx>
        <c:axId val="448066888"/>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48027824"/>
        <c:crosses val="autoZero"/>
        <c:crossBetween val="between"/>
      </c:valAx>
    </c:plotArea>
    <c:legend>
      <c:legendPos val="r"/>
      <c:layout>
        <c:manualLayout>
          <c:xMode val="edge"/>
          <c:yMode val="edge"/>
          <c:x val="0.67786400441933592"/>
          <c:y val="0.17298899640971704"/>
          <c:w val="0.30870079421776897"/>
          <c:h val="0.72488254330810165"/>
        </c:manualLayout>
      </c:layout>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'Category (2018)'!$B$14</c:f>
              <c:strCache>
                <c:ptCount val="1"/>
                <c:pt idx="0">
                  <c:v>RTF Management</c:v>
                </c:pt>
              </c:strCache>
            </c:strRef>
          </c:tx>
          <c:invertIfNegative val="0"/>
          <c:cat>
            <c:numLit>
              <c:formatCode>General</c:formatCode>
              <c:ptCount val="2"/>
              <c:pt idx="0">
                <c:v>2017</c:v>
              </c:pt>
              <c:pt idx="1">
                <c:v>2018</c:v>
              </c:pt>
            </c:numLit>
          </c:cat>
          <c:val>
            <c:numRef>
              <c:f>('Category (2018)'!$J$14,'Category (2018)'!$C$14)</c:f>
              <c:numCache>
                <c:formatCode>"$"#,##0_);\("$"#,##0\)</c:formatCode>
                <c:ptCount val="2"/>
                <c:pt idx="0">
                  <c:v>4300</c:v>
                </c:pt>
                <c:pt idx="1">
                  <c:v>4300</c:v>
                </c:pt>
              </c:numCache>
            </c:numRef>
          </c:val>
        </c:ser>
        <c:ser>
          <c:idx val="7"/>
          <c:order val="1"/>
          <c:tx>
            <c:v>Member Support &amp; Admin</c:v>
          </c:tx>
          <c:invertIfNegative val="0"/>
          <c:cat>
            <c:numLit>
              <c:formatCode>General</c:formatCode>
              <c:ptCount val="2"/>
              <c:pt idx="0">
                <c:v>2017</c:v>
              </c:pt>
              <c:pt idx="1">
                <c:v>2018</c:v>
              </c:pt>
            </c:numLit>
          </c:cat>
          <c:val>
            <c:numRef>
              <c:f>('Category (2018)'!$J$13,'Category (2018)'!$C$13)</c:f>
              <c:numCache>
                <c:formatCode>"$"#,##0_);\("$"#,##0\)</c:formatCode>
                <c:ptCount val="2"/>
                <c:pt idx="0">
                  <c:v>165000</c:v>
                </c:pt>
                <c:pt idx="1">
                  <c:v>186900</c:v>
                </c:pt>
              </c:numCache>
            </c:numRef>
          </c:val>
        </c:ser>
        <c:ser>
          <c:idx val="6"/>
          <c:order val="2"/>
          <c:tx>
            <c:v>Website, Database, &amp; RCP Support</c:v>
          </c:tx>
          <c:invertIfNegative val="0"/>
          <c:cat>
            <c:numLit>
              <c:formatCode>General</c:formatCode>
              <c:ptCount val="2"/>
              <c:pt idx="0">
                <c:v>2017</c:v>
              </c:pt>
              <c:pt idx="1">
                <c:v>2018</c:v>
              </c:pt>
            </c:numLit>
          </c:cat>
          <c:val>
            <c:numRef>
              <c:f>('Category (2018)'!$J$12,'Category (2018)'!$C$12)</c:f>
              <c:numCache>
                <c:formatCode>"$"#,##0_);\("$"#,##0\)</c:formatCode>
                <c:ptCount val="2"/>
                <c:pt idx="0">
                  <c:v>70000</c:v>
                </c:pt>
                <c:pt idx="1">
                  <c:v>65000</c:v>
                </c:pt>
              </c:numCache>
            </c:numRef>
          </c:val>
        </c:ser>
        <c:ser>
          <c:idx val="5"/>
          <c:order val="3"/>
          <c:tx>
            <c:v>Regional Coordination</c:v>
          </c:tx>
          <c:invertIfNegative val="0"/>
          <c:cat>
            <c:numLit>
              <c:formatCode>General</c:formatCode>
              <c:ptCount val="2"/>
              <c:pt idx="0">
                <c:v>2017</c:v>
              </c:pt>
              <c:pt idx="1">
                <c:v>2018</c:v>
              </c:pt>
            </c:numLit>
          </c:cat>
          <c:val>
            <c:numRef>
              <c:f>('Category (2018)'!$J$11,'Category (2018)'!$C$11)</c:f>
              <c:numCache>
                <c:formatCode>"$"#,##0_);\("$"#,##0\)</c:formatCode>
                <c:ptCount val="2"/>
                <c:pt idx="0">
                  <c:v>20000</c:v>
                </c:pt>
                <c:pt idx="1">
                  <c:v>70000</c:v>
                </c:pt>
              </c:numCache>
            </c:numRef>
          </c:val>
        </c:ser>
        <c:ser>
          <c:idx val="3"/>
          <c:order val="4"/>
          <c:tx>
            <c:strRef>
              <c:f>'Category (2018)'!$B$9</c:f>
              <c:strCache>
                <c:ptCount val="1"/>
                <c:pt idx="0">
                  <c:v>Tool Development</c:v>
                </c:pt>
              </c:strCache>
            </c:strRef>
          </c:tx>
          <c:invertIfNegative val="0"/>
          <c:cat>
            <c:numLit>
              <c:formatCode>General</c:formatCode>
              <c:ptCount val="2"/>
              <c:pt idx="0">
                <c:v>2017</c:v>
              </c:pt>
              <c:pt idx="1">
                <c:v>2018</c:v>
              </c:pt>
            </c:numLit>
          </c:cat>
          <c:val>
            <c:numRef>
              <c:f>('Category (2018)'!$J$9,'Category (2018)'!$C$9)</c:f>
              <c:numCache>
                <c:formatCode>"$"#,##0_);\("$"#,##0\)</c:formatCode>
                <c:ptCount val="2"/>
                <c:pt idx="0">
                  <c:v>0</c:v>
                </c:pt>
                <c:pt idx="1">
                  <c:v>0</c:v>
                </c:pt>
              </c:numCache>
            </c:numRef>
          </c:val>
        </c:ser>
        <c:ser>
          <c:idx val="2"/>
          <c:order val="5"/>
          <c:tx>
            <c:strRef>
              <c:f>'Category (2018)'!$B$8</c:f>
              <c:strCache>
                <c:ptCount val="1"/>
                <c:pt idx="0">
                  <c:v>Standardization of Technical Analysis</c:v>
                </c:pt>
              </c:strCache>
            </c:strRef>
          </c:tx>
          <c:invertIfNegative val="0"/>
          <c:cat>
            <c:numLit>
              <c:formatCode>General</c:formatCode>
              <c:ptCount val="2"/>
              <c:pt idx="0">
                <c:v>2017</c:v>
              </c:pt>
              <c:pt idx="1">
                <c:v>2018</c:v>
              </c:pt>
            </c:numLit>
          </c:cat>
          <c:val>
            <c:numRef>
              <c:f>('Category (2018)'!$J$8,'Category (2018)'!$C$8)</c:f>
              <c:numCache>
                <c:formatCode>"$"#,##0_);\("$"#,##0\)</c:formatCode>
                <c:ptCount val="2"/>
                <c:pt idx="0">
                  <c:v>125000</c:v>
                </c:pt>
                <c:pt idx="1">
                  <c:v>28500</c:v>
                </c:pt>
              </c:numCache>
            </c:numRef>
          </c:val>
        </c:ser>
        <c:ser>
          <c:idx val="1"/>
          <c:order val="6"/>
          <c:tx>
            <c:v>New Measure Development</c:v>
          </c:tx>
          <c:invertIfNegative val="0"/>
          <c:cat>
            <c:numLit>
              <c:formatCode>General</c:formatCode>
              <c:ptCount val="2"/>
              <c:pt idx="0">
                <c:v>2017</c:v>
              </c:pt>
              <c:pt idx="1">
                <c:v>2018</c:v>
              </c:pt>
            </c:numLit>
          </c:cat>
          <c:val>
            <c:numRef>
              <c:f>('Category (2018)'!$J$7,'Category (2018)'!$C$7)</c:f>
              <c:numCache>
                <c:formatCode>"$"#,##0_);\("$"#,##0\)</c:formatCode>
                <c:ptCount val="2"/>
                <c:pt idx="0">
                  <c:v>48000</c:v>
                </c:pt>
                <c:pt idx="1">
                  <c:v>58000</c:v>
                </c:pt>
              </c:numCache>
            </c:numRef>
          </c:val>
        </c:ser>
        <c:ser>
          <c:idx val="0"/>
          <c:order val="7"/>
          <c:tx>
            <c:strRef>
              <c:f>'Category (2018)'!$B$6</c:f>
              <c:strCache>
                <c:ptCount val="1"/>
                <c:pt idx="0">
                  <c:v>Existing Measure Review &amp; Updates</c:v>
                </c:pt>
              </c:strCache>
            </c:strRef>
          </c:tx>
          <c:invertIfNegative val="0"/>
          <c:cat>
            <c:numLit>
              <c:formatCode>General</c:formatCode>
              <c:ptCount val="2"/>
              <c:pt idx="0">
                <c:v>2017</c:v>
              </c:pt>
              <c:pt idx="1">
                <c:v>2018</c:v>
              </c:pt>
            </c:numLit>
          </c:cat>
          <c:val>
            <c:numRef>
              <c:f>('Category (2018)'!$J$6,'Category (2018)'!$C$6)</c:f>
              <c:numCache>
                <c:formatCode>"$"#,##0_);\("$"#,##0\)</c:formatCode>
                <c:ptCount val="2"/>
                <c:pt idx="0">
                  <c:v>48000</c:v>
                </c:pt>
                <c:pt idx="1">
                  <c:v>76000</c:v>
                </c:pt>
              </c:numCache>
            </c:numRef>
          </c:val>
        </c:ser>
        <c:dLbls>
          <c:showLegendKey val="0"/>
          <c:showVal val="0"/>
          <c:showCatName val="0"/>
          <c:showSerName val="0"/>
          <c:showPercent val="0"/>
          <c:showBubbleSize val="0"/>
        </c:dLbls>
        <c:gapWidth val="150"/>
        <c:overlap val="100"/>
        <c:axId val="448067672"/>
        <c:axId val="448068064"/>
      </c:barChart>
      <c:catAx>
        <c:axId val="448067672"/>
        <c:scaling>
          <c:orientation val="minMax"/>
        </c:scaling>
        <c:delete val="0"/>
        <c:axPos val="b"/>
        <c:numFmt formatCode="General" sourceLinked="1"/>
        <c:majorTickMark val="out"/>
        <c:minorTickMark val="none"/>
        <c:tickLblPos val="nextTo"/>
        <c:txPr>
          <a:bodyPr/>
          <a:lstStyle/>
          <a:p>
            <a:pPr>
              <a:defRPr sz="1800" b="1"/>
            </a:pPr>
            <a:endParaRPr lang="en-US"/>
          </a:p>
        </c:txPr>
        <c:crossAx val="448068064"/>
        <c:crosses val="autoZero"/>
        <c:auto val="1"/>
        <c:lblAlgn val="ctr"/>
        <c:lblOffset val="100"/>
        <c:noMultiLvlLbl val="0"/>
      </c:catAx>
      <c:valAx>
        <c:axId val="448068064"/>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4806767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32" l="0.70000000000000162" r="0.70000000000000162" t="0.750000000000012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'Category (2018)'!$B$14</c:f>
              <c:strCache>
                <c:ptCount val="1"/>
                <c:pt idx="0">
                  <c:v>RTF Management</c:v>
                </c:pt>
              </c:strCache>
            </c:strRef>
          </c:tx>
          <c:invertIfNegative val="0"/>
          <c:cat>
            <c:numLit>
              <c:formatCode>General</c:formatCode>
              <c:ptCount val="2"/>
              <c:pt idx="0">
                <c:v>2017</c:v>
              </c:pt>
              <c:pt idx="1">
                <c:v>2018</c:v>
              </c:pt>
            </c:numLit>
          </c:cat>
          <c:val>
            <c:numRef>
              <c:f>('Category (2018)'!$L$14,'Category (2018)'!$E$14)</c:f>
              <c:numCache>
                <c:formatCode>"$"#,##0_);\("$"#,##0\)</c:formatCode>
                <c:ptCount val="2"/>
                <c:pt idx="0">
                  <c:v>147000</c:v>
                </c:pt>
                <c:pt idx="1">
                  <c:v>153000</c:v>
                </c:pt>
              </c:numCache>
            </c:numRef>
          </c:val>
        </c:ser>
        <c:ser>
          <c:idx val="7"/>
          <c:order val="1"/>
          <c:tx>
            <c:v>Member Support &amp; Admin</c:v>
          </c:tx>
          <c:invertIfNegative val="0"/>
          <c:cat>
            <c:numLit>
              <c:formatCode>General</c:formatCode>
              <c:ptCount val="2"/>
              <c:pt idx="0">
                <c:v>2017</c:v>
              </c:pt>
              <c:pt idx="1">
                <c:v>2018</c:v>
              </c:pt>
            </c:numLit>
          </c:cat>
          <c:val>
            <c:numRef>
              <c:f>('Category (2018)'!$K$13,'Category (2018)'!$D$13)</c:f>
              <c:numCache>
                <c:formatCode>"$"#,##0_);\("$"#,##0\)</c:formatCode>
                <c:ptCount val="2"/>
                <c:pt idx="0">
                  <c:v>75000</c:v>
                </c:pt>
                <c:pt idx="1">
                  <c:v>75000</c:v>
                </c:pt>
              </c:numCache>
            </c:numRef>
          </c:val>
        </c:ser>
        <c:ser>
          <c:idx val="6"/>
          <c:order val="2"/>
          <c:tx>
            <c:v>Webiste, Database &amp; RCP Support</c:v>
          </c:tx>
          <c:invertIfNegative val="0"/>
          <c:cat>
            <c:numLit>
              <c:formatCode>General</c:formatCode>
              <c:ptCount val="2"/>
              <c:pt idx="0">
                <c:v>2017</c:v>
              </c:pt>
              <c:pt idx="1">
                <c:v>2018</c:v>
              </c:pt>
            </c:numLit>
          </c:cat>
          <c:val>
            <c:numRef>
              <c:f>('Category (2018)'!$K$12,'Category (2018)'!$D$12)</c:f>
              <c:numCache>
                <c:formatCode>"$"#,##0_);\("$"#,##0\)</c:formatCode>
                <c:ptCount val="2"/>
                <c:pt idx="0">
                  <c:v>10000</c:v>
                </c:pt>
                <c:pt idx="1">
                  <c:v>10000</c:v>
                </c:pt>
              </c:numCache>
            </c:numRef>
          </c:val>
        </c:ser>
        <c:ser>
          <c:idx val="5"/>
          <c:order val="3"/>
          <c:tx>
            <c:v>Regional Coordination</c:v>
          </c:tx>
          <c:invertIfNegative val="0"/>
          <c:cat>
            <c:numLit>
              <c:formatCode>General</c:formatCode>
              <c:ptCount val="2"/>
              <c:pt idx="0">
                <c:v>2017</c:v>
              </c:pt>
              <c:pt idx="1">
                <c:v>2018</c:v>
              </c:pt>
            </c:numLit>
          </c:cat>
          <c:val>
            <c:numRef>
              <c:f>('Category (2018)'!$K$11,'Category (2018)'!$D$11)</c:f>
              <c:numCache>
                <c:formatCode>"$"#,##0_);\("$"#,##0\)</c:formatCode>
                <c:ptCount val="2"/>
                <c:pt idx="0">
                  <c:v>115000</c:v>
                </c:pt>
                <c:pt idx="1">
                  <c:v>215000</c:v>
                </c:pt>
              </c:numCache>
            </c:numRef>
          </c:val>
        </c:ser>
        <c:ser>
          <c:idx val="3"/>
          <c:order val="4"/>
          <c:tx>
            <c:strRef>
              <c:f>'Category (2018)'!$B$9</c:f>
              <c:strCache>
                <c:ptCount val="1"/>
                <c:pt idx="0">
                  <c:v>Tool Development</c:v>
                </c:pt>
              </c:strCache>
            </c:strRef>
          </c:tx>
          <c:invertIfNegative val="0"/>
          <c:cat>
            <c:numLit>
              <c:formatCode>General</c:formatCode>
              <c:ptCount val="2"/>
              <c:pt idx="0">
                <c:v>2017</c:v>
              </c:pt>
              <c:pt idx="1">
                <c:v>2018</c:v>
              </c:pt>
            </c:numLit>
          </c:cat>
          <c:val>
            <c:numRef>
              <c:f>('Category (2018)'!$K$9,'Category (2018)'!$D$9)</c:f>
              <c:numCache>
                <c:formatCode>"$"#,##0_);\("$"#,##0\)</c:formatCode>
                <c:ptCount val="2"/>
                <c:pt idx="0">
                  <c:v>20000</c:v>
                </c:pt>
                <c:pt idx="1">
                  <c:v>50000</c:v>
                </c:pt>
              </c:numCache>
            </c:numRef>
          </c:val>
        </c:ser>
        <c:ser>
          <c:idx val="2"/>
          <c:order val="5"/>
          <c:tx>
            <c:strRef>
              <c:f>'Category (2018)'!$B$8</c:f>
              <c:strCache>
                <c:ptCount val="1"/>
                <c:pt idx="0">
                  <c:v>Standardization of Technical Analysis</c:v>
                </c:pt>
              </c:strCache>
            </c:strRef>
          </c:tx>
          <c:invertIfNegative val="0"/>
          <c:cat>
            <c:numLit>
              <c:formatCode>General</c:formatCode>
              <c:ptCount val="2"/>
              <c:pt idx="0">
                <c:v>2017</c:v>
              </c:pt>
              <c:pt idx="1">
                <c:v>2018</c:v>
              </c:pt>
            </c:numLit>
          </c:cat>
          <c:val>
            <c:numRef>
              <c:f>('Category (2018)'!$K$8,'Category (2018)'!$D$8)</c:f>
              <c:numCache>
                <c:formatCode>"$"#,##0_);\("$"#,##0\)</c:formatCode>
                <c:ptCount val="2"/>
                <c:pt idx="0">
                  <c:v>225000</c:v>
                </c:pt>
                <c:pt idx="1">
                  <c:v>165000</c:v>
                </c:pt>
              </c:numCache>
            </c:numRef>
          </c:val>
        </c:ser>
        <c:ser>
          <c:idx val="1"/>
          <c:order val="6"/>
          <c:tx>
            <c:v>New Measure Development</c:v>
          </c:tx>
          <c:invertIfNegative val="0"/>
          <c:cat>
            <c:numLit>
              <c:formatCode>General</c:formatCode>
              <c:ptCount val="2"/>
              <c:pt idx="0">
                <c:v>2017</c:v>
              </c:pt>
              <c:pt idx="1">
                <c:v>2018</c:v>
              </c:pt>
            </c:numLit>
          </c:cat>
          <c:val>
            <c:numRef>
              <c:f>('Category (2018)'!$K$7,'Category (2018)'!$D$7)</c:f>
              <c:numCache>
                <c:formatCode>"$"#,##0_);\("$"#,##0\)</c:formatCode>
                <c:ptCount val="2"/>
                <c:pt idx="0">
                  <c:v>367500</c:v>
                </c:pt>
                <c:pt idx="1">
                  <c:v>286000</c:v>
                </c:pt>
              </c:numCache>
            </c:numRef>
          </c:val>
        </c:ser>
        <c:ser>
          <c:idx val="0"/>
          <c:order val="7"/>
          <c:tx>
            <c:strRef>
              <c:f>'Category (2018)'!$B$6</c:f>
              <c:strCache>
                <c:ptCount val="1"/>
                <c:pt idx="0">
                  <c:v>Existing Measure Review &amp; Updates</c:v>
                </c:pt>
              </c:strCache>
            </c:strRef>
          </c:tx>
          <c:invertIfNegative val="0"/>
          <c:cat>
            <c:numLit>
              <c:formatCode>General</c:formatCode>
              <c:ptCount val="2"/>
              <c:pt idx="0">
                <c:v>2017</c:v>
              </c:pt>
              <c:pt idx="1">
                <c:v>2018</c:v>
              </c:pt>
            </c:numLit>
          </c:cat>
          <c:val>
            <c:numRef>
              <c:f>('Category (2018)'!$K$6,'Category (2018)'!$D$6)</c:f>
              <c:numCache>
                <c:formatCode>"$"#,##0_);\("$"#,##0\)</c:formatCode>
                <c:ptCount val="2"/>
                <c:pt idx="0">
                  <c:v>345000</c:v>
                </c:pt>
                <c:pt idx="1">
                  <c:v>391000</c:v>
                </c:pt>
              </c:numCache>
            </c:numRef>
          </c:val>
        </c:ser>
        <c:dLbls>
          <c:showLegendKey val="0"/>
          <c:showVal val="0"/>
          <c:showCatName val="0"/>
          <c:showSerName val="0"/>
          <c:showPercent val="0"/>
          <c:showBubbleSize val="0"/>
        </c:dLbls>
        <c:gapWidth val="150"/>
        <c:overlap val="100"/>
        <c:axId val="448068848"/>
        <c:axId val="447931880"/>
      </c:barChart>
      <c:catAx>
        <c:axId val="448068848"/>
        <c:scaling>
          <c:orientation val="minMax"/>
        </c:scaling>
        <c:delete val="0"/>
        <c:axPos val="b"/>
        <c:numFmt formatCode="General" sourceLinked="1"/>
        <c:majorTickMark val="out"/>
        <c:minorTickMark val="none"/>
        <c:tickLblPos val="nextTo"/>
        <c:txPr>
          <a:bodyPr/>
          <a:lstStyle/>
          <a:p>
            <a:pPr>
              <a:defRPr sz="1800" b="1"/>
            </a:pPr>
            <a:endParaRPr lang="en-US"/>
          </a:p>
        </c:txPr>
        <c:crossAx val="447931880"/>
        <c:crosses val="autoZero"/>
        <c:auto val="1"/>
        <c:lblAlgn val="ctr"/>
        <c:lblOffset val="100"/>
        <c:noMultiLvlLbl val="0"/>
      </c:catAx>
      <c:valAx>
        <c:axId val="447931880"/>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48068848"/>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overlay val="1"/>
    </c:title>
    <c:autoTitleDeleted val="0"/>
    <c:plotArea>
      <c:layout/>
      <c:barChart>
        <c:barDir val="col"/>
        <c:grouping val="stacked"/>
        <c:varyColors val="0"/>
        <c:ser>
          <c:idx val="1"/>
          <c:order val="0"/>
          <c:tx>
            <c:strRef>
              <c:f>'Category (2018)'!$O$123</c:f>
              <c:strCache>
                <c:ptCount val="1"/>
                <c:pt idx="0">
                  <c:v>Contract RFP</c:v>
                </c:pt>
              </c:strCache>
            </c:strRef>
          </c:tx>
          <c:invertIfNegative val="0"/>
          <c:cat>
            <c:numRef>
              <c:f>'Category (2018)'!$P$122:$R$122</c:f>
              <c:numCache>
                <c:formatCode>General</c:formatCode>
                <c:ptCount val="3"/>
                <c:pt idx="0">
                  <c:v>2016</c:v>
                </c:pt>
                <c:pt idx="1">
                  <c:v>2017</c:v>
                </c:pt>
                <c:pt idx="2">
                  <c:v>2018</c:v>
                </c:pt>
              </c:numCache>
            </c:numRef>
          </c:cat>
          <c:val>
            <c:numRef>
              <c:f>'Category (2018)'!$P$123:$R$123</c:f>
              <c:numCache>
                <c:formatCode>"$"#,##0_);\("$"#,##0\)</c:formatCode>
                <c:ptCount val="3"/>
                <c:pt idx="0">
                  <c:v>508000</c:v>
                </c:pt>
                <c:pt idx="1">
                  <c:v>480300</c:v>
                </c:pt>
                <c:pt idx="2">
                  <c:v>488700</c:v>
                </c:pt>
              </c:numCache>
            </c:numRef>
          </c:val>
        </c:ser>
        <c:ser>
          <c:idx val="0"/>
          <c:order val="1"/>
          <c:tx>
            <c:strRef>
              <c:f>'Category (2018)'!$O$125</c:f>
              <c:strCache>
                <c:ptCount val="1"/>
                <c:pt idx="0">
                  <c:v>Contract Analyst Team and RTF Manager</c:v>
                </c:pt>
              </c:strCache>
            </c:strRef>
          </c:tx>
          <c:invertIfNegative val="0"/>
          <c:cat>
            <c:numRef>
              <c:f>'Category (2018)'!$P$122:$R$122</c:f>
              <c:numCache>
                <c:formatCode>General</c:formatCode>
                <c:ptCount val="3"/>
                <c:pt idx="0">
                  <c:v>2016</c:v>
                </c:pt>
                <c:pt idx="1">
                  <c:v>2017</c:v>
                </c:pt>
                <c:pt idx="2">
                  <c:v>2018</c:v>
                </c:pt>
              </c:numCache>
            </c:numRef>
          </c:cat>
          <c:val>
            <c:numRef>
              <c:f>'Category (2018)'!$P$125:$R$125</c:f>
              <c:numCache>
                <c:formatCode>"$"#,##0_);\("$"#,##0\)</c:formatCode>
                <c:ptCount val="3"/>
                <c:pt idx="0">
                  <c:v>1020000</c:v>
                </c:pt>
                <c:pt idx="1">
                  <c:v>1309500</c:v>
                </c:pt>
                <c:pt idx="2">
                  <c:v>1345000</c:v>
                </c:pt>
              </c:numCache>
            </c:numRef>
          </c:val>
        </c:ser>
        <c:dLbls>
          <c:showLegendKey val="0"/>
          <c:showVal val="0"/>
          <c:showCatName val="0"/>
          <c:showSerName val="0"/>
          <c:showPercent val="0"/>
          <c:showBubbleSize val="0"/>
        </c:dLbls>
        <c:gapWidth val="150"/>
        <c:overlap val="100"/>
        <c:axId val="447931096"/>
        <c:axId val="448218792"/>
      </c:barChart>
      <c:catAx>
        <c:axId val="447931096"/>
        <c:scaling>
          <c:orientation val="minMax"/>
        </c:scaling>
        <c:delete val="0"/>
        <c:axPos val="b"/>
        <c:numFmt formatCode="General" sourceLinked="1"/>
        <c:majorTickMark val="out"/>
        <c:minorTickMark val="none"/>
        <c:tickLblPos val="nextTo"/>
        <c:txPr>
          <a:bodyPr/>
          <a:lstStyle/>
          <a:p>
            <a:pPr>
              <a:defRPr sz="1800" b="1"/>
            </a:pPr>
            <a:endParaRPr lang="en-US"/>
          </a:p>
        </c:txPr>
        <c:crossAx val="448218792"/>
        <c:crosses val="autoZero"/>
        <c:auto val="1"/>
        <c:lblAlgn val="ctr"/>
        <c:lblOffset val="100"/>
        <c:noMultiLvlLbl val="0"/>
      </c:catAx>
      <c:valAx>
        <c:axId val="44821879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4793109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Funding </a:t>
            </a:r>
          </a:p>
          <a:p>
            <a:pPr>
              <a:defRPr/>
            </a:pPr>
            <a:r>
              <a:rPr lang="en-US"/>
              <a:t>(Including Council)</a:t>
            </a:r>
          </a:p>
        </c:rich>
      </c:tx>
      <c:overlay val="0"/>
    </c:title>
    <c:autoTitleDeleted val="0"/>
    <c:plotArea>
      <c:layout>
        <c:manualLayout>
          <c:layoutTarget val="inner"/>
          <c:xMode val="edge"/>
          <c:yMode val="edge"/>
          <c:x val="0.145671997185919"/>
          <c:y val="0.27372871660273201"/>
          <c:w val="0.50148839642467402"/>
          <c:h val="0.50971204686370697"/>
        </c:manualLayout>
      </c:layout>
      <c:barChart>
        <c:barDir val="col"/>
        <c:grouping val="stacked"/>
        <c:varyColors val="0"/>
        <c:ser>
          <c:idx val="3"/>
          <c:order val="0"/>
          <c:tx>
            <c:strRef>
              <c:f>'Category (2015-2019)'!$E$18</c:f>
              <c:strCache>
                <c:ptCount val="1"/>
                <c:pt idx="0">
                  <c:v>RTF Manager</c:v>
                </c:pt>
              </c:strCache>
            </c:strRef>
          </c:tx>
          <c:invertIfNegative val="0"/>
          <c:dPt>
            <c:idx val="0"/>
            <c:invertIfNegative val="0"/>
            <c:bubble3D val="0"/>
            <c:spPr>
              <a:solidFill>
                <a:schemeClr val="bg1">
                  <a:lumMod val="50000"/>
                </a:schemeClr>
              </a:solidFill>
            </c:spPr>
          </c:dPt>
          <c:dPt>
            <c:idx val="1"/>
            <c:invertIfNegative val="0"/>
            <c:bubble3D val="0"/>
            <c:spPr>
              <a:solidFill>
                <a:schemeClr val="bg1">
                  <a:lumMod val="50000"/>
                </a:schemeClr>
              </a:solidFill>
            </c:spPr>
          </c:dPt>
          <c:dPt>
            <c:idx val="2"/>
            <c:invertIfNegative val="0"/>
            <c:bubble3D val="0"/>
            <c:spPr>
              <a:solidFill>
                <a:schemeClr val="bg1">
                  <a:lumMod val="50000"/>
                </a:schemeClr>
              </a:solidFill>
            </c:spPr>
          </c:dPt>
          <c:cat>
            <c:strRef>
              <c:f>'Category (2015-2019)'!$B$19:$B$23</c:f>
              <c:strCache>
                <c:ptCount val="5"/>
                <c:pt idx="0">
                  <c:v>CY 2015</c:v>
                </c:pt>
                <c:pt idx="1">
                  <c:v>CY 2016</c:v>
                </c:pt>
                <c:pt idx="2">
                  <c:v>CY 2017</c:v>
                </c:pt>
                <c:pt idx="3">
                  <c:v>CY 2018</c:v>
                </c:pt>
                <c:pt idx="4">
                  <c:v>CY 2019</c:v>
                </c:pt>
              </c:strCache>
            </c:strRef>
          </c:cat>
          <c:val>
            <c:numRef>
              <c:f>'Category (2015-2019)'!$E$19:$E$23</c:f>
              <c:numCache>
                <c:formatCode>"$"#,##0_);\("$"#,##0\)</c:formatCode>
                <c:ptCount val="5"/>
                <c:pt idx="0">
                  <c:v>125000</c:v>
                </c:pt>
                <c:pt idx="1">
                  <c:v>135000</c:v>
                </c:pt>
                <c:pt idx="2">
                  <c:v>147000</c:v>
                </c:pt>
                <c:pt idx="3">
                  <c:v>153000</c:v>
                </c:pt>
                <c:pt idx="4">
                  <c:v>160300</c:v>
                </c:pt>
              </c:numCache>
            </c:numRef>
          </c:val>
        </c:ser>
        <c:ser>
          <c:idx val="0"/>
          <c:order val="1"/>
          <c:tx>
            <c:strRef>
              <c:f>'Category (2015-2019)'!$C$18</c:f>
              <c:strCache>
                <c:ptCount val="1"/>
                <c:pt idx="0">
                  <c:v>Contract RFP</c:v>
                </c:pt>
              </c:strCache>
            </c:strRef>
          </c:tx>
          <c:invertIfNegative val="0"/>
          <c:dPt>
            <c:idx val="0"/>
            <c:invertIfNegative val="0"/>
            <c:bubble3D val="0"/>
            <c:spPr>
              <a:solidFill>
                <a:schemeClr val="bg1">
                  <a:lumMod val="65000"/>
                </a:schemeClr>
              </a:solidFill>
            </c:spPr>
          </c:dPt>
          <c:dPt>
            <c:idx val="1"/>
            <c:invertIfNegative val="0"/>
            <c:bubble3D val="0"/>
            <c:spPr>
              <a:solidFill>
                <a:schemeClr val="bg1">
                  <a:lumMod val="65000"/>
                </a:schemeClr>
              </a:solidFill>
            </c:spPr>
          </c:dPt>
          <c:dPt>
            <c:idx val="2"/>
            <c:invertIfNegative val="0"/>
            <c:bubble3D val="0"/>
            <c:spPr>
              <a:solidFill>
                <a:schemeClr val="bg1">
                  <a:lumMod val="65000"/>
                </a:schemeClr>
              </a:solidFill>
            </c:spPr>
          </c:dPt>
          <c:cat>
            <c:strRef>
              <c:f>'Category (2015-2019)'!$B$19:$B$23</c:f>
              <c:strCache>
                <c:ptCount val="5"/>
                <c:pt idx="0">
                  <c:v>CY 2015</c:v>
                </c:pt>
                <c:pt idx="1">
                  <c:v>CY 2016</c:v>
                </c:pt>
                <c:pt idx="2">
                  <c:v>CY 2017</c:v>
                </c:pt>
                <c:pt idx="3">
                  <c:v>CY 2018</c:v>
                </c:pt>
                <c:pt idx="4">
                  <c:v>CY 2019</c:v>
                </c:pt>
              </c:strCache>
            </c:strRef>
          </c:cat>
          <c:val>
            <c:numRef>
              <c:f>'Category (2015-2019)'!$C$19:$C$23</c:f>
              <c:numCache>
                <c:formatCode>"$"#,##0_);\("$"#,##0\)</c:formatCode>
                <c:ptCount val="5"/>
                <c:pt idx="0">
                  <c:v>425600</c:v>
                </c:pt>
                <c:pt idx="1">
                  <c:v>508000</c:v>
                </c:pt>
                <c:pt idx="2">
                  <c:v>480300</c:v>
                </c:pt>
                <c:pt idx="3">
                  <c:v>488700</c:v>
                </c:pt>
                <c:pt idx="4">
                  <c:v>499300</c:v>
                </c:pt>
              </c:numCache>
            </c:numRef>
          </c:val>
        </c:ser>
        <c:ser>
          <c:idx val="1"/>
          <c:order val="2"/>
          <c:tx>
            <c:strRef>
              <c:f>'Category (2015-2019)'!$D$18</c:f>
              <c:strCache>
                <c:ptCount val="1"/>
                <c:pt idx="0">
                  <c:v>Contract Analyst Team</c:v>
                </c:pt>
              </c:strCache>
            </c:strRef>
          </c:tx>
          <c:invertIfNegative val="0"/>
          <c:dPt>
            <c:idx val="0"/>
            <c:invertIfNegative val="0"/>
            <c:bubble3D val="0"/>
            <c:spPr>
              <a:solidFill>
                <a:schemeClr val="bg1">
                  <a:lumMod val="75000"/>
                </a:schemeClr>
              </a:solidFill>
            </c:spPr>
          </c:dPt>
          <c:dPt>
            <c:idx val="1"/>
            <c:invertIfNegative val="0"/>
            <c:bubble3D val="0"/>
            <c:spPr>
              <a:solidFill>
                <a:schemeClr val="bg1">
                  <a:lumMod val="75000"/>
                </a:schemeClr>
              </a:solidFill>
            </c:spPr>
          </c:dPt>
          <c:dPt>
            <c:idx val="2"/>
            <c:invertIfNegative val="0"/>
            <c:bubble3D val="0"/>
            <c:spPr>
              <a:solidFill>
                <a:schemeClr val="bg1">
                  <a:lumMod val="75000"/>
                </a:schemeClr>
              </a:solidFill>
              <a:ln>
                <a:solidFill>
                  <a:schemeClr val="bg1"/>
                </a:solidFill>
              </a:ln>
            </c:spPr>
          </c:dPt>
          <c:cat>
            <c:strRef>
              <c:f>'Category (2015-2019)'!$B$19:$B$23</c:f>
              <c:strCache>
                <c:ptCount val="5"/>
                <c:pt idx="0">
                  <c:v>CY 2015</c:v>
                </c:pt>
                <c:pt idx="1">
                  <c:v>CY 2016</c:v>
                </c:pt>
                <c:pt idx="2">
                  <c:v>CY 2017</c:v>
                </c:pt>
                <c:pt idx="3">
                  <c:v>CY 2018</c:v>
                </c:pt>
                <c:pt idx="4">
                  <c:v>CY 2019</c:v>
                </c:pt>
              </c:strCache>
            </c:strRef>
          </c:cat>
          <c:val>
            <c:numRef>
              <c:f>'Category (2015-2019)'!$D$19:$D$23</c:f>
              <c:numCache>
                <c:formatCode>"$"#,##0_);\("$"#,##0\)</c:formatCode>
                <c:ptCount val="5"/>
                <c:pt idx="0">
                  <c:v>1087000</c:v>
                </c:pt>
                <c:pt idx="1">
                  <c:v>1020000</c:v>
                </c:pt>
                <c:pt idx="2">
                  <c:v>1162500</c:v>
                </c:pt>
                <c:pt idx="3">
                  <c:v>1192000</c:v>
                </c:pt>
                <c:pt idx="4">
                  <c:v>1215500</c:v>
                </c:pt>
              </c:numCache>
            </c:numRef>
          </c:val>
        </c:ser>
        <c:ser>
          <c:idx val="2"/>
          <c:order val="3"/>
          <c:tx>
            <c:strRef>
              <c:f>'Category (2015-2019)'!$G$18</c:f>
              <c:strCache>
                <c:ptCount val="1"/>
                <c:pt idx="0">
                  <c:v>Council Staff (In-Kind)</c:v>
                </c:pt>
              </c:strCache>
            </c:strRef>
          </c:tx>
          <c:invertIfNegative val="0"/>
          <c:dPt>
            <c:idx val="0"/>
            <c:invertIfNegative val="0"/>
            <c:bubble3D val="0"/>
            <c:spPr>
              <a:solidFill>
                <a:schemeClr val="bg1">
                  <a:lumMod val="85000"/>
                </a:schemeClr>
              </a:solidFill>
            </c:spPr>
          </c:dPt>
          <c:dPt>
            <c:idx val="1"/>
            <c:invertIfNegative val="0"/>
            <c:bubble3D val="0"/>
            <c:spPr>
              <a:solidFill>
                <a:schemeClr val="bg1">
                  <a:lumMod val="85000"/>
                </a:schemeClr>
              </a:solidFill>
            </c:spPr>
          </c:dPt>
          <c:dPt>
            <c:idx val="2"/>
            <c:invertIfNegative val="0"/>
            <c:bubble3D val="0"/>
            <c:spPr>
              <a:solidFill>
                <a:schemeClr val="bg1">
                  <a:lumMod val="85000"/>
                </a:schemeClr>
              </a:solidFill>
              <a:ln>
                <a:solidFill>
                  <a:schemeClr val="bg1"/>
                </a:solidFill>
              </a:ln>
            </c:spPr>
          </c:dPt>
          <c:cat>
            <c:strRef>
              <c:f>'Category (2015-2019)'!$B$19:$B$23</c:f>
              <c:strCache>
                <c:ptCount val="5"/>
                <c:pt idx="0">
                  <c:v>CY 2015</c:v>
                </c:pt>
                <c:pt idx="1">
                  <c:v>CY 2016</c:v>
                </c:pt>
                <c:pt idx="2">
                  <c:v>CY 2017</c:v>
                </c:pt>
                <c:pt idx="3">
                  <c:v>CY 2018</c:v>
                </c:pt>
                <c:pt idx="4">
                  <c:v>CY 2019</c:v>
                </c:pt>
              </c:strCache>
            </c:strRef>
          </c:cat>
          <c:val>
            <c:numRef>
              <c:f>'Category (2015-2019)'!$G$19:$G$23</c:f>
              <c:numCache>
                <c:formatCode>"$"#,##0_);\("$"#,##0\)</c:formatCode>
                <c:ptCount val="5"/>
                <c:pt idx="0">
                  <c:v>201600</c:v>
                </c:pt>
                <c:pt idx="1">
                  <c:v>148100</c:v>
                </c:pt>
                <c:pt idx="2">
                  <c:v>204200</c:v>
                </c:pt>
                <c:pt idx="3">
                  <c:v>194500</c:v>
                </c:pt>
                <c:pt idx="4">
                  <c:v>200300</c:v>
                </c:pt>
              </c:numCache>
            </c:numRef>
          </c:val>
        </c:ser>
        <c:dLbls>
          <c:showLegendKey val="0"/>
          <c:showVal val="0"/>
          <c:showCatName val="0"/>
          <c:showSerName val="0"/>
          <c:showPercent val="0"/>
          <c:showBubbleSize val="0"/>
        </c:dLbls>
        <c:gapWidth val="55"/>
        <c:overlap val="100"/>
        <c:axId val="448219576"/>
        <c:axId val="448219968"/>
      </c:barChart>
      <c:catAx>
        <c:axId val="44821957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448219968"/>
        <c:crosses val="autoZero"/>
        <c:auto val="1"/>
        <c:lblAlgn val="ctr"/>
        <c:lblOffset val="100"/>
        <c:noMultiLvlLbl val="0"/>
      </c:catAx>
      <c:valAx>
        <c:axId val="448219968"/>
        <c:scaling>
          <c:orientation val="minMax"/>
        </c:scaling>
        <c:delete val="0"/>
        <c:axPos val="l"/>
        <c:majorGridlines/>
        <c:numFmt formatCode="&quot;$&quot;#,##0_);\(&quot;$&quot;#,##0\)" sourceLinked="1"/>
        <c:majorTickMark val="none"/>
        <c:minorTickMark val="none"/>
        <c:tickLblPos val="nextTo"/>
        <c:crossAx val="448219576"/>
        <c:crosses val="autoZero"/>
        <c:crossBetween val="between"/>
      </c:valAx>
    </c:plotArea>
    <c:legend>
      <c:legendPos val="r"/>
      <c:layout>
        <c:manualLayout>
          <c:xMode val="edge"/>
          <c:yMode val="edge"/>
          <c:x val="0.71588895867366864"/>
          <c:y val="0.33105379943449686"/>
          <c:w val="0.22109326759687031"/>
          <c:h val="0.24540001202139924"/>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(Not including Council)</a:t>
            </a:r>
          </a:p>
        </c:rich>
      </c:tx>
      <c:overlay val="0"/>
    </c:title>
    <c:autoTitleDeleted val="0"/>
    <c:plotArea>
      <c:layout/>
      <c:barChart>
        <c:barDir val="col"/>
        <c:grouping val="stacked"/>
        <c:varyColors val="0"/>
        <c:ser>
          <c:idx val="2"/>
          <c:order val="0"/>
          <c:tx>
            <c:strRef>
              <c:f>'Category (2015-2019)'!$B$38</c:f>
              <c:strCache>
                <c:ptCount val="1"/>
                <c:pt idx="0">
                  <c:v>RTF Management</c:v>
                </c:pt>
              </c:strCache>
            </c:strRef>
          </c:tx>
          <c:invertIfNegative val="0"/>
          <c:dPt>
            <c:idx val="0"/>
            <c:invertIfNegative val="0"/>
            <c:bubble3D val="0"/>
            <c:spPr>
              <a:solidFill>
                <a:schemeClr val="bg1">
                  <a:lumMod val="85000"/>
                </a:schemeClr>
              </a:solidFill>
            </c:spPr>
          </c:dPt>
          <c:dPt>
            <c:idx val="1"/>
            <c:invertIfNegative val="0"/>
            <c:bubble3D val="0"/>
            <c:spPr>
              <a:solidFill>
                <a:schemeClr val="bg1">
                  <a:lumMod val="85000"/>
                </a:schemeClr>
              </a:solidFill>
            </c:spPr>
          </c:dPt>
          <c:dPt>
            <c:idx val="2"/>
            <c:invertIfNegative val="0"/>
            <c:bubble3D val="0"/>
            <c:spPr>
              <a:solidFill>
                <a:schemeClr val="bg1">
                  <a:lumMod val="8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(2015-2019)'!$C$38:$G$38</c:f>
              <c:numCache>
                <c:formatCode>"$"#,##0_);\("$"#,##0\)</c:formatCode>
                <c:ptCount val="5"/>
                <c:pt idx="0">
                  <c:v>320100</c:v>
                </c:pt>
                <c:pt idx="1">
                  <c:v>457500</c:v>
                </c:pt>
                <c:pt idx="2">
                  <c:v>476300</c:v>
                </c:pt>
                <c:pt idx="3">
                  <c:v>494200</c:v>
                </c:pt>
                <c:pt idx="4">
                  <c:v>511500</c:v>
                </c:pt>
              </c:numCache>
            </c:numRef>
          </c:val>
        </c:ser>
        <c:ser>
          <c:idx val="1"/>
          <c:order val="1"/>
          <c:tx>
            <c:strRef>
              <c:f>'Category (2015-2019)'!$B$37</c:f>
              <c:strCache>
                <c:ptCount val="1"/>
                <c:pt idx="0">
                  <c:v>Tools, Research, Data &amp; Regional Coordination</c:v>
                </c:pt>
              </c:strCache>
            </c:strRef>
          </c:tx>
          <c:invertIfNegative val="0"/>
          <c:dPt>
            <c:idx val="0"/>
            <c:invertIfNegative val="0"/>
            <c:bubble3D val="0"/>
            <c:spPr>
              <a:solidFill>
                <a:schemeClr val="bg1">
                  <a:lumMod val="50000"/>
                </a:schemeClr>
              </a:solidFill>
            </c:spPr>
          </c:dPt>
          <c:dPt>
            <c:idx val="1"/>
            <c:invertIfNegative val="0"/>
            <c:bubble3D val="0"/>
            <c:spPr>
              <a:solidFill>
                <a:schemeClr val="bg1">
                  <a:lumMod val="50000"/>
                </a:schemeClr>
              </a:solidFill>
            </c:spPr>
          </c:dPt>
          <c:dPt>
            <c:idx val="2"/>
            <c:invertIfNegative val="0"/>
            <c:bubble3D val="0"/>
            <c:spPr>
              <a:solidFill>
                <a:schemeClr val="bg1">
                  <a:lumMod val="50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(2015-2019)'!$C$37:$G$37</c:f>
              <c:numCache>
                <c:formatCode>"$"#,##0_);\("$"#,##0\)</c:formatCode>
                <c:ptCount val="5"/>
                <c:pt idx="0">
                  <c:v>268000</c:v>
                </c:pt>
                <c:pt idx="1">
                  <c:v>220000</c:v>
                </c:pt>
                <c:pt idx="2">
                  <c:v>155000</c:v>
                </c:pt>
                <c:pt idx="3">
                  <c:v>335000</c:v>
                </c:pt>
                <c:pt idx="4">
                  <c:v>330000</c:v>
                </c:pt>
              </c:numCache>
            </c:numRef>
          </c:val>
        </c:ser>
        <c:ser>
          <c:idx val="0"/>
          <c:order val="2"/>
          <c:tx>
            <c:strRef>
              <c:f>'Category (2015-2019)'!$B$36</c:f>
              <c:strCache>
                <c:ptCount val="1"/>
                <c:pt idx="0">
                  <c:v>Measure Review &amp; Technical Analysis</c:v>
                </c:pt>
              </c:strCache>
            </c:strRef>
          </c:tx>
          <c:invertIfNegative val="0"/>
          <c:dPt>
            <c:idx val="0"/>
            <c:invertIfNegative val="0"/>
            <c:bubble3D val="0"/>
            <c:spPr>
              <a:solidFill>
                <a:schemeClr val="bg1">
                  <a:lumMod val="75000"/>
                </a:schemeClr>
              </a:solidFill>
            </c:spPr>
          </c:dPt>
          <c:dPt>
            <c:idx val="1"/>
            <c:invertIfNegative val="0"/>
            <c:bubble3D val="0"/>
            <c:spPr>
              <a:solidFill>
                <a:schemeClr val="bg1">
                  <a:lumMod val="75000"/>
                </a:schemeClr>
              </a:solidFill>
            </c:spPr>
          </c:dPt>
          <c:dPt>
            <c:idx val="2"/>
            <c:invertIfNegative val="0"/>
            <c:bubble3D val="0"/>
            <c:spPr>
              <a:solidFill>
                <a:schemeClr val="bg1">
                  <a:lumMod val="7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(2015-2019)'!$C$36:$G$36</c:f>
              <c:numCache>
                <c:formatCode>"$"#,##0_);\("$"#,##0\)</c:formatCode>
                <c:ptCount val="5"/>
                <c:pt idx="0">
                  <c:v>1049500</c:v>
                </c:pt>
                <c:pt idx="1">
                  <c:v>985500</c:v>
                </c:pt>
                <c:pt idx="2">
                  <c:v>1158500</c:v>
                </c:pt>
                <c:pt idx="3">
                  <c:v>1004500</c:v>
                </c:pt>
                <c:pt idx="4">
                  <c:v>1033700</c:v>
                </c:pt>
              </c:numCache>
            </c:numRef>
          </c:val>
        </c:ser>
        <c:dLbls>
          <c:showLegendKey val="0"/>
          <c:showVal val="0"/>
          <c:showCatName val="0"/>
          <c:showSerName val="0"/>
          <c:showPercent val="0"/>
          <c:showBubbleSize val="0"/>
        </c:dLbls>
        <c:gapWidth val="150"/>
        <c:overlap val="100"/>
        <c:axId val="448220752"/>
        <c:axId val="448221144"/>
      </c:barChart>
      <c:catAx>
        <c:axId val="448220752"/>
        <c:scaling>
          <c:orientation val="minMax"/>
        </c:scaling>
        <c:delete val="0"/>
        <c:axPos val="b"/>
        <c:numFmt formatCode="General" sourceLinked="1"/>
        <c:majorTickMark val="out"/>
        <c:minorTickMark val="none"/>
        <c:tickLblPos val="nextTo"/>
        <c:crossAx val="448221144"/>
        <c:crosses val="autoZero"/>
        <c:auto val="1"/>
        <c:lblAlgn val="ctr"/>
        <c:lblOffset val="100"/>
        <c:noMultiLvlLbl val="0"/>
      </c:catAx>
      <c:valAx>
        <c:axId val="448221144"/>
        <c:scaling>
          <c:orientation val="minMax"/>
        </c:scaling>
        <c:delete val="0"/>
        <c:axPos val="l"/>
        <c:majorGridlines/>
        <c:numFmt formatCode="&quot;$&quot;#,##0_);\(&quot;$&quot;#,##0\)" sourceLinked="1"/>
        <c:majorTickMark val="out"/>
        <c:minorTickMark val="none"/>
        <c:tickLblPos val="nextTo"/>
        <c:crossAx val="448220752"/>
        <c:crosses val="autoZero"/>
        <c:crossBetween val="between"/>
        <c:majorUnit val="200000"/>
      </c:valAx>
    </c:plotArea>
    <c:legend>
      <c:legendPos val="r"/>
      <c:layout>
        <c:manualLayout>
          <c:xMode val="edge"/>
          <c:yMode val="edge"/>
          <c:x val="0.66851531058620062"/>
          <c:y val="0.36263201793653299"/>
          <c:w val="0.31481802274716864"/>
          <c:h val="0.43651645585118232"/>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(Including Council)</a:t>
            </a:r>
          </a:p>
        </c:rich>
      </c:tx>
      <c:overlay val="0"/>
    </c:title>
    <c:autoTitleDeleted val="0"/>
    <c:plotArea>
      <c:layout/>
      <c:barChart>
        <c:barDir val="col"/>
        <c:grouping val="stacked"/>
        <c:varyColors val="0"/>
        <c:ser>
          <c:idx val="0"/>
          <c:order val="0"/>
          <c:tx>
            <c:strRef>
              <c:f>'Category (2015-2019)'!$B$45</c:f>
              <c:strCache>
                <c:ptCount val="1"/>
                <c:pt idx="0">
                  <c:v>RTF Management</c:v>
                </c:pt>
              </c:strCache>
            </c:strRef>
          </c:tx>
          <c:spPr>
            <a:solidFill>
              <a:schemeClr val="accent3"/>
            </a:solidFill>
          </c:spPr>
          <c:invertIfNegative val="0"/>
          <c:dPt>
            <c:idx val="0"/>
            <c:invertIfNegative val="0"/>
            <c:bubble3D val="0"/>
            <c:spPr>
              <a:solidFill>
                <a:schemeClr val="bg1">
                  <a:lumMod val="85000"/>
                </a:schemeClr>
              </a:solidFill>
            </c:spPr>
          </c:dPt>
          <c:dPt>
            <c:idx val="1"/>
            <c:invertIfNegative val="0"/>
            <c:bubble3D val="0"/>
            <c:spPr>
              <a:solidFill>
                <a:schemeClr val="bg1">
                  <a:lumMod val="85000"/>
                </a:schemeClr>
              </a:solidFill>
            </c:spPr>
          </c:dPt>
          <c:dPt>
            <c:idx val="2"/>
            <c:invertIfNegative val="0"/>
            <c:bubble3D val="0"/>
            <c:spPr>
              <a:solidFill>
                <a:schemeClr val="bg1">
                  <a:lumMod val="8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(2015-2019)'!$C$45:$G$45</c:f>
              <c:numCache>
                <c:formatCode>"$"#,##0_);\("$"#,##0\)</c:formatCode>
                <c:ptCount val="5"/>
                <c:pt idx="0">
                  <c:v>467100</c:v>
                </c:pt>
                <c:pt idx="1">
                  <c:v>578000</c:v>
                </c:pt>
                <c:pt idx="2">
                  <c:v>620300</c:v>
                </c:pt>
                <c:pt idx="3">
                  <c:v>615700</c:v>
                </c:pt>
                <c:pt idx="4">
                  <c:v>637800</c:v>
                </c:pt>
              </c:numCache>
            </c:numRef>
          </c:val>
        </c:ser>
        <c:ser>
          <c:idx val="1"/>
          <c:order val="1"/>
          <c:tx>
            <c:strRef>
              <c:f>'Category (2015-2019)'!$B$44</c:f>
              <c:strCache>
                <c:ptCount val="1"/>
                <c:pt idx="0">
                  <c:v>Tools, Research, Data &amp; Regional Coordination</c:v>
                </c:pt>
              </c:strCache>
            </c:strRef>
          </c:tx>
          <c:invertIfNegative val="0"/>
          <c:dPt>
            <c:idx val="0"/>
            <c:invertIfNegative val="0"/>
            <c:bubble3D val="0"/>
            <c:spPr>
              <a:solidFill>
                <a:schemeClr val="bg1">
                  <a:lumMod val="50000"/>
                </a:schemeClr>
              </a:solidFill>
            </c:spPr>
          </c:dPt>
          <c:dPt>
            <c:idx val="1"/>
            <c:invertIfNegative val="0"/>
            <c:bubble3D val="0"/>
            <c:spPr>
              <a:solidFill>
                <a:schemeClr val="bg1">
                  <a:lumMod val="50000"/>
                </a:schemeClr>
              </a:solidFill>
            </c:spPr>
          </c:dPt>
          <c:dPt>
            <c:idx val="2"/>
            <c:invertIfNegative val="0"/>
            <c:bubble3D val="0"/>
            <c:spPr>
              <a:solidFill>
                <a:schemeClr val="bg1">
                  <a:lumMod val="50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(2015-2019)'!$C$44:$G$44</c:f>
              <c:numCache>
                <c:formatCode>"$"#,##0_);\("$"#,##0\)</c:formatCode>
                <c:ptCount val="5"/>
                <c:pt idx="0">
                  <c:v>307000</c:v>
                </c:pt>
                <c:pt idx="1">
                  <c:v>236000</c:v>
                </c:pt>
                <c:pt idx="2">
                  <c:v>177000</c:v>
                </c:pt>
                <c:pt idx="3">
                  <c:v>371000</c:v>
                </c:pt>
                <c:pt idx="4">
                  <c:v>365900</c:v>
                </c:pt>
              </c:numCache>
            </c:numRef>
          </c:val>
        </c:ser>
        <c:ser>
          <c:idx val="2"/>
          <c:order val="2"/>
          <c:tx>
            <c:strRef>
              <c:f>'Category (2015-2019)'!$B$43</c:f>
              <c:strCache>
                <c:ptCount val="1"/>
                <c:pt idx="0">
                  <c:v>Measure Review &amp; Technical Analysis</c:v>
                </c:pt>
              </c:strCache>
            </c:strRef>
          </c:tx>
          <c:spPr>
            <a:solidFill>
              <a:schemeClr val="accent1"/>
            </a:solidFill>
          </c:spPr>
          <c:invertIfNegative val="0"/>
          <c:dPt>
            <c:idx val="0"/>
            <c:invertIfNegative val="0"/>
            <c:bubble3D val="0"/>
            <c:spPr>
              <a:solidFill>
                <a:schemeClr val="bg1">
                  <a:lumMod val="75000"/>
                </a:schemeClr>
              </a:solidFill>
            </c:spPr>
          </c:dPt>
          <c:dPt>
            <c:idx val="1"/>
            <c:invertIfNegative val="0"/>
            <c:bubble3D val="0"/>
            <c:spPr>
              <a:solidFill>
                <a:schemeClr val="bg1">
                  <a:lumMod val="75000"/>
                </a:schemeClr>
              </a:solidFill>
            </c:spPr>
          </c:dPt>
          <c:dPt>
            <c:idx val="2"/>
            <c:invertIfNegative val="0"/>
            <c:bubble3D val="0"/>
            <c:spPr>
              <a:solidFill>
                <a:schemeClr val="bg1">
                  <a:lumMod val="7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(2015-2019)'!$C$43:$G$43</c:f>
              <c:numCache>
                <c:formatCode>"$"#,##0_);\("$"#,##0\)</c:formatCode>
                <c:ptCount val="5"/>
                <c:pt idx="0">
                  <c:v>1065100</c:v>
                </c:pt>
                <c:pt idx="1">
                  <c:v>997100</c:v>
                </c:pt>
                <c:pt idx="2">
                  <c:v>1196700</c:v>
                </c:pt>
                <c:pt idx="3">
                  <c:v>1041500</c:v>
                </c:pt>
                <c:pt idx="4">
                  <c:v>1071800</c:v>
                </c:pt>
              </c:numCache>
            </c:numRef>
          </c:val>
        </c:ser>
        <c:dLbls>
          <c:showLegendKey val="0"/>
          <c:showVal val="0"/>
          <c:showCatName val="0"/>
          <c:showSerName val="0"/>
          <c:showPercent val="0"/>
          <c:showBubbleSize val="0"/>
        </c:dLbls>
        <c:gapWidth val="150"/>
        <c:overlap val="100"/>
        <c:axId val="448221928"/>
        <c:axId val="448222320"/>
      </c:barChart>
      <c:catAx>
        <c:axId val="448221928"/>
        <c:scaling>
          <c:orientation val="minMax"/>
        </c:scaling>
        <c:delete val="0"/>
        <c:axPos val="b"/>
        <c:numFmt formatCode="General" sourceLinked="1"/>
        <c:majorTickMark val="out"/>
        <c:minorTickMark val="none"/>
        <c:tickLblPos val="nextTo"/>
        <c:crossAx val="448222320"/>
        <c:crosses val="autoZero"/>
        <c:auto val="1"/>
        <c:lblAlgn val="ctr"/>
        <c:lblOffset val="100"/>
        <c:noMultiLvlLbl val="0"/>
      </c:catAx>
      <c:valAx>
        <c:axId val="448222320"/>
        <c:scaling>
          <c:orientation val="minMax"/>
        </c:scaling>
        <c:delete val="0"/>
        <c:axPos val="l"/>
        <c:majorGridlines/>
        <c:numFmt formatCode="&quot;$&quot;#,##0_);\(&quot;$&quot;#,##0\)" sourceLinked="1"/>
        <c:majorTickMark val="out"/>
        <c:minorTickMark val="none"/>
        <c:tickLblPos val="nextTo"/>
        <c:crossAx val="448221928"/>
        <c:crosses val="autoZero"/>
        <c:crossBetween val="between"/>
      </c:valAx>
    </c:plotArea>
    <c:legend>
      <c:legendPos val="r"/>
      <c:layout>
        <c:manualLayout>
          <c:xMode val="edge"/>
          <c:yMode val="edge"/>
          <c:x val="0.66851531058620062"/>
          <c:y val="0.39761744067706489"/>
          <c:w val="0.31481802274716864"/>
          <c:h val="0.44429099423796531"/>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111" l="0.70000000000000162" r="0.70000000000000162" t="0.75000000000001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0.36042000000000002</c:v>
                </c:pt>
                <c:pt idx="1">
                  <c:v>0.20146</c:v>
                </c:pt>
                <c:pt idx="2">
                  <c:v>0.14138999999999999</c:v>
                </c:pt>
                <c:pt idx="3">
                  <c:v>8.9660000000000004E-2</c:v>
                </c:pt>
                <c:pt idx="4">
                  <c:v>5.7419999999999999E-2</c:v>
                </c:pt>
                <c:pt idx="5">
                  <c:v>2.5430000000000001E-2</c:v>
                </c:pt>
                <c:pt idx="6">
                  <c:v>4.0349999999999997E-2</c:v>
                </c:pt>
                <c:pt idx="7">
                  <c:v>3.6549999999999999E-2</c:v>
                </c:pt>
                <c:pt idx="8">
                  <c:v>1.3140000000000001E-2</c:v>
                </c:pt>
                <c:pt idx="9">
                  <c:v>1.0959999999999999E-2</c:v>
                </c:pt>
                <c:pt idx="10">
                  <c:v>6.5399999999999998E-3</c:v>
                </c:pt>
                <c:pt idx="11">
                  <c:v>3.1700000000000001E-3</c:v>
                </c:pt>
                <c:pt idx="12">
                  <c:v>3.8300000000000001E-3</c:v>
                </c:pt>
              </c:numCache>
            </c:numRef>
          </c:val>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121" l="0.70000000000000162" r="0.700000000000001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'Category (2018)'!$B$14</c:f>
              <c:strCache>
                <c:ptCount val="1"/>
                <c:pt idx="0">
                  <c:v>RTF Management</c:v>
                </c:pt>
              </c:strCache>
            </c:strRef>
          </c:tx>
          <c:invertIfNegative val="0"/>
          <c:cat>
            <c:numLit>
              <c:formatCode>General</c:formatCode>
              <c:ptCount val="3"/>
              <c:pt idx="0">
                <c:v>2016</c:v>
              </c:pt>
              <c:pt idx="1">
                <c:v>2017</c:v>
              </c:pt>
              <c:pt idx="2">
                <c:v>2018</c:v>
              </c:pt>
            </c:numLit>
          </c:cat>
          <c:val>
            <c:numRef>
              <c:f>('Category (2018)'!$Q$14,'Category (2018)'!$J$14,'Category (2018)'!$C$14)</c:f>
              <c:numCache>
                <c:formatCode>"$"#,##0_);\("$"#,##0\)</c:formatCode>
                <c:ptCount val="3"/>
                <c:pt idx="0">
                  <c:v>8300</c:v>
                </c:pt>
                <c:pt idx="1">
                  <c:v>4300</c:v>
                </c:pt>
                <c:pt idx="2">
                  <c:v>4300</c:v>
                </c:pt>
              </c:numCache>
            </c:numRef>
          </c:val>
        </c:ser>
        <c:ser>
          <c:idx val="7"/>
          <c:order val="1"/>
          <c:tx>
            <c:strRef>
              <c:f>'Category (2018)'!$B$13</c:f>
              <c:strCache>
                <c:ptCount val="1"/>
                <c:pt idx="0">
                  <c:v>RTF Member Support &amp; Administration</c:v>
                </c:pt>
              </c:strCache>
            </c:strRef>
          </c:tx>
          <c:invertIfNegative val="0"/>
          <c:cat>
            <c:numLit>
              <c:formatCode>General</c:formatCode>
              <c:ptCount val="3"/>
              <c:pt idx="0">
                <c:v>2016</c:v>
              </c:pt>
              <c:pt idx="1">
                <c:v>2017</c:v>
              </c:pt>
              <c:pt idx="2">
                <c:v>2018</c:v>
              </c:pt>
            </c:numLit>
          </c:cat>
          <c:val>
            <c:numRef>
              <c:f>('Category (2018)'!$Q$13,'Category (2018)'!$J$13,'Category (2018)'!$C$13)</c:f>
              <c:numCache>
                <c:formatCode>"$"#,##0_);\("$"#,##0\)</c:formatCode>
                <c:ptCount val="3"/>
                <c:pt idx="0">
                  <c:v>169200</c:v>
                </c:pt>
                <c:pt idx="1">
                  <c:v>165000</c:v>
                </c:pt>
                <c:pt idx="2">
                  <c:v>186900</c:v>
                </c:pt>
              </c:numCache>
            </c:numRef>
          </c:val>
        </c:ser>
        <c:ser>
          <c:idx val="6"/>
          <c:order val="2"/>
          <c:tx>
            <c:strRef>
              <c:f>'Category (2018)'!$B$12</c:f>
              <c:strCache>
                <c:ptCount val="1"/>
                <c:pt idx="0">
                  <c:v>Website, Database support, Conservation Tracking </c:v>
                </c:pt>
              </c:strCache>
            </c:strRef>
          </c:tx>
          <c:invertIfNegative val="0"/>
          <c:cat>
            <c:numLit>
              <c:formatCode>General</c:formatCode>
              <c:ptCount val="3"/>
              <c:pt idx="0">
                <c:v>2016</c:v>
              </c:pt>
              <c:pt idx="1">
                <c:v>2017</c:v>
              </c:pt>
              <c:pt idx="2">
                <c:v>2018</c:v>
              </c:pt>
            </c:numLit>
          </c:cat>
          <c:val>
            <c:numRef>
              <c:f>('Category (2018)'!$Q$12,'Category (2018)'!$J$12,'Category (2018)'!$C$12)</c:f>
              <c:numCache>
                <c:formatCode>"$"#,##0_);\("$"#,##0\)</c:formatCode>
                <c:ptCount val="3"/>
                <c:pt idx="0">
                  <c:v>60000</c:v>
                </c:pt>
                <c:pt idx="1">
                  <c:v>70000</c:v>
                </c:pt>
                <c:pt idx="2">
                  <c:v>65000</c:v>
                </c:pt>
              </c:numCache>
            </c:numRef>
          </c:val>
        </c:ser>
        <c:ser>
          <c:idx val="5"/>
          <c:order val="3"/>
          <c:tx>
            <c:strRef>
              <c:f>'Category (2018)'!$B$11</c:f>
              <c:strCache>
                <c:ptCount val="1"/>
                <c:pt idx="0">
                  <c:v>Regional Coordination (Research and Data Development)</c:v>
                </c:pt>
              </c:strCache>
            </c:strRef>
          </c:tx>
          <c:invertIfNegative val="0"/>
          <c:cat>
            <c:numLit>
              <c:formatCode>General</c:formatCode>
              <c:ptCount val="3"/>
              <c:pt idx="0">
                <c:v>2016</c:v>
              </c:pt>
              <c:pt idx="1">
                <c:v>2017</c:v>
              </c:pt>
              <c:pt idx="2">
                <c:v>2018</c:v>
              </c:pt>
            </c:numLit>
          </c:cat>
          <c:val>
            <c:numRef>
              <c:f>('Category (2018)'!$Q$11,'Category (2018)'!$J$11,'Category (2018)'!$C$11)</c:f>
              <c:numCache>
                <c:formatCode>"$"#,##0_);\("$"#,##0\)</c:formatCode>
                <c:ptCount val="3"/>
                <c:pt idx="0">
                  <c:v>15000</c:v>
                </c:pt>
                <c:pt idx="1">
                  <c:v>20000</c:v>
                </c:pt>
                <c:pt idx="2">
                  <c:v>70000</c:v>
                </c:pt>
              </c:numCache>
            </c:numRef>
          </c:val>
        </c:ser>
        <c:ser>
          <c:idx val="4"/>
          <c:order val="4"/>
          <c:tx>
            <c:strRef>
              <c:f>'Category (2018)'!$B$10</c:f>
              <c:strCache>
                <c:ptCount val="1"/>
                <c:pt idx="0">
                  <c:v>Research Projects &amp; Data Development</c:v>
                </c:pt>
              </c:strCache>
            </c:strRef>
          </c:tx>
          <c:invertIfNegative val="0"/>
          <c:cat>
            <c:numLit>
              <c:formatCode>General</c:formatCode>
              <c:ptCount val="3"/>
              <c:pt idx="0">
                <c:v>2016</c:v>
              </c:pt>
              <c:pt idx="1">
                <c:v>2017</c:v>
              </c:pt>
              <c:pt idx="2">
                <c:v>2018</c:v>
              </c:pt>
            </c:numLit>
          </c:cat>
          <c:val>
            <c:numRef>
              <c:f>('Category (2018)'!$Q$10,'Category (2018)'!$J$10,'Category (2018)'!$C$10)</c:f>
              <c:numCache>
                <c:formatCode>"$"#,##0_);\("$"#,##0\)</c:formatCode>
                <c:ptCount val="3"/>
                <c:pt idx="0">
                  <c:v>0</c:v>
                </c:pt>
                <c:pt idx="1">
                  <c:v>0</c:v>
                </c:pt>
                <c:pt idx="2">
                  <c:v>0</c:v>
                </c:pt>
              </c:numCache>
            </c:numRef>
          </c:val>
        </c:ser>
        <c:ser>
          <c:idx val="3"/>
          <c:order val="5"/>
          <c:tx>
            <c:strRef>
              <c:f>'Category (2018)'!$B$9</c:f>
              <c:strCache>
                <c:ptCount val="1"/>
                <c:pt idx="0">
                  <c:v>Tool Development</c:v>
                </c:pt>
              </c:strCache>
            </c:strRef>
          </c:tx>
          <c:invertIfNegative val="0"/>
          <c:cat>
            <c:numLit>
              <c:formatCode>General</c:formatCode>
              <c:ptCount val="3"/>
              <c:pt idx="0">
                <c:v>2016</c:v>
              </c:pt>
              <c:pt idx="1">
                <c:v>2017</c:v>
              </c:pt>
              <c:pt idx="2">
                <c:v>2018</c:v>
              </c:pt>
            </c:numLit>
          </c:cat>
          <c:val>
            <c:numRef>
              <c:f>('Category (2018)'!$Q$9,'Category (2018)'!$J$9,'Category (2018)'!$C$9)</c:f>
              <c:numCache>
                <c:formatCode>"$"#,##0_);\("$"#,##0\)</c:formatCode>
                <c:ptCount val="3"/>
                <c:pt idx="0">
                  <c:v>10000</c:v>
                </c:pt>
                <c:pt idx="1">
                  <c:v>0</c:v>
                </c:pt>
                <c:pt idx="2">
                  <c:v>0</c:v>
                </c:pt>
              </c:numCache>
            </c:numRef>
          </c:val>
        </c:ser>
        <c:ser>
          <c:idx val="2"/>
          <c:order val="6"/>
          <c:tx>
            <c:strRef>
              <c:f>'Category (2018)'!$B$8</c:f>
              <c:strCache>
                <c:ptCount val="1"/>
                <c:pt idx="0">
                  <c:v>Standardization of Technical Analysis</c:v>
                </c:pt>
              </c:strCache>
            </c:strRef>
          </c:tx>
          <c:invertIfNegative val="0"/>
          <c:cat>
            <c:numLit>
              <c:formatCode>General</c:formatCode>
              <c:ptCount val="3"/>
              <c:pt idx="0">
                <c:v>2016</c:v>
              </c:pt>
              <c:pt idx="1">
                <c:v>2017</c:v>
              </c:pt>
              <c:pt idx="2">
                <c:v>2018</c:v>
              </c:pt>
            </c:numLit>
          </c:cat>
          <c:val>
            <c:numRef>
              <c:f>('Category (2018)'!$Q$8,'Category (2018)'!$J$8,'Category (2018)'!$C$8)</c:f>
              <c:numCache>
                <c:formatCode>"$"#,##0_);\("$"#,##0\)</c:formatCode>
                <c:ptCount val="3"/>
                <c:pt idx="0">
                  <c:v>30000</c:v>
                </c:pt>
                <c:pt idx="1">
                  <c:v>125000</c:v>
                </c:pt>
                <c:pt idx="2">
                  <c:v>28500</c:v>
                </c:pt>
              </c:numCache>
            </c:numRef>
          </c:val>
        </c:ser>
        <c:ser>
          <c:idx val="1"/>
          <c:order val="7"/>
          <c:tx>
            <c:strRef>
              <c:f>'Category (2018)'!$B$7</c:f>
              <c:strCache>
                <c:ptCount val="1"/>
                <c:pt idx="0">
                  <c:v>New Measure Development &amp; Review of Unsolicited Proposals</c:v>
                </c:pt>
              </c:strCache>
            </c:strRef>
          </c:tx>
          <c:invertIfNegative val="0"/>
          <c:cat>
            <c:numLit>
              <c:formatCode>General</c:formatCode>
              <c:ptCount val="3"/>
              <c:pt idx="0">
                <c:v>2016</c:v>
              </c:pt>
              <c:pt idx="1">
                <c:v>2017</c:v>
              </c:pt>
              <c:pt idx="2">
                <c:v>2018</c:v>
              </c:pt>
            </c:numLit>
          </c:cat>
          <c:val>
            <c:numRef>
              <c:f>('Category (2018)'!$Q$7,'Category (2018)'!$J$7,'Category (2018)'!$C$7)</c:f>
              <c:numCache>
                <c:formatCode>"$"#,##0_);\("$"#,##0\)</c:formatCode>
                <c:ptCount val="3"/>
                <c:pt idx="0">
                  <c:v>88000</c:v>
                </c:pt>
                <c:pt idx="1">
                  <c:v>48000</c:v>
                </c:pt>
                <c:pt idx="2">
                  <c:v>58000</c:v>
                </c:pt>
              </c:numCache>
            </c:numRef>
          </c:val>
        </c:ser>
        <c:ser>
          <c:idx val="0"/>
          <c:order val="8"/>
          <c:tx>
            <c:strRef>
              <c:f>'Category (2018)'!$B$6</c:f>
              <c:strCache>
                <c:ptCount val="1"/>
                <c:pt idx="0">
                  <c:v>Existing Measure Review &amp; Updates</c:v>
                </c:pt>
              </c:strCache>
            </c:strRef>
          </c:tx>
          <c:invertIfNegative val="0"/>
          <c:cat>
            <c:numLit>
              <c:formatCode>General</c:formatCode>
              <c:ptCount val="3"/>
              <c:pt idx="0">
                <c:v>2016</c:v>
              </c:pt>
              <c:pt idx="1">
                <c:v>2017</c:v>
              </c:pt>
              <c:pt idx="2">
                <c:v>2018</c:v>
              </c:pt>
            </c:numLit>
          </c:cat>
          <c:val>
            <c:numRef>
              <c:f>('Category (2018)'!$Q$6,'Category (2018)'!$J$6,'Category (2018)'!$C$6)</c:f>
              <c:numCache>
                <c:formatCode>"$"#,##0_);\("$"#,##0\)</c:formatCode>
                <c:ptCount val="3"/>
                <c:pt idx="0">
                  <c:v>127500</c:v>
                </c:pt>
                <c:pt idx="1">
                  <c:v>48000</c:v>
                </c:pt>
                <c:pt idx="2">
                  <c:v>76000</c:v>
                </c:pt>
              </c:numCache>
            </c:numRef>
          </c:val>
        </c:ser>
        <c:dLbls>
          <c:showLegendKey val="0"/>
          <c:showVal val="0"/>
          <c:showCatName val="0"/>
          <c:showSerName val="0"/>
          <c:showPercent val="0"/>
          <c:showBubbleSize val="0"/>
        </c:dLbls>
        <c:gapWidth val="150"/>
        <c:overlap val="100"/>
        <c:axId val="447928744"/>
        <c:axId val="447929136"/>
      </c:barChart>
      <c:catAx>
        <c:axId val="447928744"/>
        <c:scaling>
          <c:orientation val="minMax"/>
        </c:scaling>
        <c:delete val="0"/>
        <c:axPos val="b"/>
        <c:numFmt formatCode="General" sourceLinked="1"/>
        <c:majorTickMark val="out"/>
        <c:minorTickMark val="none"/>
        <c:tickLblPos val="nextTo"/>
        <c:txPr>
          <a:bodyPr/>
          <a:lstStyle/>
          <a:p>
            <a:pPr>
              <a:defRPr sz="1800" b="1"/>
            </a:pPr>
            <a:endParaRPr lang="en-US"/>
          </a:p>
        </c:txPr>
        <c:crossAx val="447929136"/>
        <c:crosses val="autoZero"/>
        <c:auto val="1"/>
        <c:lblAlgn val="ctr"/>
        <c:lblOffset val="100"/>
        <c:noMultiLvlLbl val="0"/>
      </c:catAx>
      <c:valAx>
        <c:axId val="447929136"/>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47928744"/>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1" l="0.70000000000000162" r="0.70000000000000162" t="0.7500000000000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Analyst vs. Contract RFP: By Category</a:t>
            </a:r>
            <a:endParaRPr lang="en-US"/>
          </a:p>
        </c:rich>
      </c:tx>
      <c:overlay val="0"/>
    </c:title>
    <c:autoTitleDeleted val="0"/>
    <c:plotArea>
      <c:layout/>
      <c:barChart>
        <c:barDir val="col"/>
        <c:grouping val="stacked"/>
        <c:varyColors val="0"/>
        <c:ser>
          <c:idx val="0"/>
          <c:order val="0"/>
          <c:tx>
            <c:strRef>
              <c:f>'Category (2018)'!$X$6</c:f>
              <c:strCache>
                <c:ptCount val="1"/>
                <c:pt idx="0">
                  <c:v>Technical Analysis</c:v>
                </c:pt>
              </c:strCache>
            </c:strRef>
          </c:tx>
          <c:invertIfNegative val="0"/>
          <c:cat>
            <c:strRef>
              <c:f>('Category (2018)'!$Y$5:$Z$5,'Category (2018)'!$AD$5:$AE$5,'Category (2018)'!$AI$5:$AJ$5)</c:f>
              <c:strCache>
                <c:ptCount val="6"/>
                <c:pt idx="0">
                  <c:v>Contract RFP
2016</c:v>
                </c:pt>
                <c:pt idx="1">
                  <c:v>RTF Contract Analyst Team 
2016</c:v>
                </c:pt>
                <c:pt idx="2">
                  <c:v>Contract RFP
2017</c:v>
                </c:pt>
                <c:pt idx="3">
                  <c:v>RTF Contract Analyst Team 
2017</c:v>
                </c:pt>
                <c:pt idx="4">
                  <c:v>Contract RFP
2018</c:v>
                </c:pt>
                <c:pt idx="5">
                  <c:v>RTF Contract Analyst Team 
2018</c:v>
                </c:pt>
              </c:strCache>
            </c:strRef>
          </c:cat>
          <c:val>
            <c:numRef>
              <c:f>('Category (2018)'!$Y$6:$Z$6,'Category (2018)'!$AD$6:$AE$6,'Category (2018)'!$AI$6:$AJ$6)</c:f>
              <c:numCache>
                <c:formatCode>"$"#,##0_);\("$"#,##0\)</c:formatCode>
                <c:ptCount val="6"/>
                <c:pt idx="0">
                  <c:v>245500</c:v>
                </c:pt>
                <c:pt idx="1">
                  <c:v>740000</c:v>
                </c:pt>
                <c:pt idx="2">
                  <c:v>221000</c:v>
                </c:pt>
                <c:pt idx="3">
                  <c:v>937500</c:v>
                </c:pt>
                <c:pt idx="4">
                  <c:v>162500</c:v>
                </c:pt>
                <c:pt idx="5">
                  <c:v>842000</c:v>
                </c:pt>
              </c:numCache>
            </c:numRef>
          </c:val>
        </c:ser>
        <c:ser>
          <c:idx val="4"/>
          <c:order val="1"/>
          <c:tx>
            <c:strRef>
              <c:f>'Category (2018)'!$X$9</c:f>
              <c:strCache>
                <c:ptCount val="1"/>
                <c:pt idx="0">
                  <c:v>Tool Development, Research, Regional Coordination </c:v>
                </c:pt>
              </c:strCache>
            </c:strRef>
          </c:tx>
          <c:spPr>
            <a:solidFill>
              <a:schemeClr val="accent1">
                <a:lumMod val="20000"/>
                <a:lumOff val="80000"/>
              </a:schemeClr>
            </a:solidFill>
          </c:spPr>
          <c:invertIfNegative val="0"/>
          <c:cat>
            <c:strRef>
              <c:f>('Category (2018)'!$Y$5:$Z$5,'Category (2018)'!$AD$5:$AE$5,'Category (2018)'!$AI$5:$AJ$5)</c:f>
              <c:strCache>
                <c:ptCount val="6"/>
                <c:pt idx="0">
                  <c:v>Contract RFP
2016</c:v>
                </c:pt>
                <c:pt idx="1">
                  <c:v>RTF Contract Analyst Team 
2016</c:v>
                </c:pt>
                <c:pt idx="2">
                  <c:v>Contract RFP
2017</c:v>
                </c:pt>
                <c:pt idx="3">
                  <c:v>RTF Contract Analyst Team 
2017</c:v>
                </c:pt>
                <c:pt idx="4">
                  <c:v>Contract RFP
2018</c:v>
                </c:pt>
                <c:pt idx="5">
                  <c:v>RTF Contract Analyst Team 
2018</c:v>
                </c:pt>
              </c:strCache>
            </c:strRef>
          </c:cat>
          <c:val>
            <c:numRef>
              <c:f>('Category (2018)'!$Y$9:$Z$9,'Category (2018)'!$AD$9:$AE$9,'Category (2018)'!$AI$9:$AJ$9)</c:f>
              <c:numCache>
                <c:formatCode>"$"#,##0_);\("$"#,##0\)</c:formatCode>
                <c:ptCount val="6"/>
                <c:pt idx="0">
                  <c:v>25000</c:v>
                </c:pt>
                <c:pt idx="1">
                  <c:v>195000</c:v>
                </c:pt>
                <c:pt idx="2">
                  <c:v>20000</c:v>
                </c:pt>
                <c:pt idx="3">
                  <c:v>135000</c:v>
                </c:pt>
                <c:pt idx="4">
                  <c:v>70000</c:v>
                </c:pt>
                <c:pt idx="5">
                  <c:v>265000</c:v>
                </c:pt>
              </c:numCache>
            </c:numRef>
          </c:val>
        </c:ser>
        <c:ser>
          <c:idx val="6"/>
          <c:order val="2"/>
          <c:tx>
            <c:strRef>
              <c:f>'Category (2018)'!$X$12</c:f>
              <c:strCache>
                <c:ptCount val="1"/>
                <c:pt idx="0">
                  <c:v>Administration</c:v>
                </c:pt>
              </c:strCache>
            </c:strRef>
          </c:tx>
          <c:spPr>
            <a:solidFill>
              <a:schemeClr val="accent5">
                <a:lumMod val="60000"/>
                <a:lumOff val="40000"/>
              </a:schemeClr>
            </a:solidFill>
          </c:spPr>
          <c:invertIfNegative val="0"/>
          <c:cat>
            <c:strRef>
              <c:f>('Category (2018)'!$Y$5:$Z$5,'Category (2018)'!$AD$5:$AE$5,'Category (2018)'!$AI$5:$AJ$5)</c:f>
              <c:strCache>
                <c:ptCount val="6"/>
                <c:pt idx="0">
                  <c:v>Contract RFP
2016</c:v>
                </c:pt>
                <c:pt idx="1">
                  <c:v>RTF Contract Analyst Team 
2016</c:v>
                </c:pt>
                <c:pt idx="2">
                  <c:v>Contract RFP
2017</c:v>
                </c:pt>
                <c:pt idx="3">
                  <c:v>RTF Contract Analyst Team 
2017</c:v>
                </c:pt>
                <c:pt idx="4">
                  <c:v>Contract RFP
2018</c:v>
                </c:pt>
                <c:pt idx="5">
                  <c:v>RTF Contract Analyst Team 
2018</c:v>
                </c:pt>
              </c:strCache>
            </c:strRef>
          </c:cat>
          <c:val>
            <c:numRef>
              <c:f>('Category (2018)'!$Y$12:$Z$12,'Category (2018)'!$AD$12:$AE$12,'Category (2018)'!$AI$12:$AJ$12)</c:f>
              <c:numCache>
                <c:formatCode>"$"#,##0_);\("$"#,##0\)</c:formatCode>
                <c:ptCount val="6"/>
                <c:pt idx="0">
                  <c:v>237500</c:v>
                </c:pt>
                <c:pt idx="1">
                  <c:v>85000</c:v>
                </c:pt>
                <c:pt idx="2">
                  <c:v>239300</c:v>
                </c:pt>
                <c:pt idx="3">
                  <c:v>90000</c:v>
                </c:pt>
                <c:pt idx="4">
                  <c:v>256200</c:v>
                </c:pt>
                <c:pt idx="5">
                  <c:v>85000</c:v>
                </c:pt>
              </c:numCache>
            </c:numRef>
          </c:val>
        </c:ser>
        <c:dLbls>
          <c:showLegendKey val="0"/>
          <c:showVal val="0"/>
          <c:showCatName val="0"/>
          <c:showSerName val="0"/>
          <c:showPercent val="0"/>
          <c:showBubbleSize val="0"/>
        </c:dLbls>
        <c:gapWidth val="55"/>
        <c:overlap val="100"/>
        <c:axId val="447929920"/>
        <c:axId val="447930312"/>
      </c:barChart>
      <c:catAx>
        <c:axId val="447929920"/>
        <c:scaling>
          <c:orientation val="minMax"/>
        </c:scaling>
        <c:delete val="0"/>
        <c:axPos val="b"/>
        <c:numFmt formatCode="General" sourceLinked="0"/>
        <c:majorTickMark val="none"/>
        <c:minorTickMark val="none"/>
        <c:tickLblPos val="nextTo"/>
        <c:crossAx val="447930312"/>
        <c:crosses val="autoZero"/>
        <c:auto val="1"/>
        <c:lblAlgn val="ctr"/>
        <c:lblOffset val="100"/>
        <c:noMultiLvlLbl val="0"/>
      </c:catAx>
      <c:valAx>
        <c:axId val="447930312"/>
        <c:scaling>
          <c:orientation val="minMax"/>
        </c:scaling>
        <c:delete val="0"/>
        <c:axPos val="l"/>
        <c:majorGridlines/>
        <c:numFmt formatCode="&quot;$&quot;#,##0_);\(&quot;$&quot;#,##0\)" sourceLinked="1"/>
        <c:majorTickMark val="none"/>
        <c:minorTickMark val="none"/>
        <c:tickLblPos val="nextTo"/>
        <c:crossAx val="447929920"/>
        <c:crosses val="autoZero"/>
        <c:crossBetween val="between"/>
      </c:valAx>
    </c:plotArea>
    <c:legend>
      <c:legendPos val="r"/>
      <c:overlay val="0"/>
    </c:legend>
    <c:plotVisOnly val="1"/>
    <c:dispBlanksAs val="gap"/>
    <c:showDLblsOverMax val="0"/>
  </c:chart>
  <c:txPr>
    <a:bodyPr/>
    <a:lstStyle/>
    <a:p>
      <a:pPr>
        <a:defRPr sz="1200"/>
      </a:pPr>
      <a:endParaRPr lang="en-US"/>
    </a:p>
  </c:txPr>
  <c:printSettings>
    <c:headerFooter/>
    <c:pageMargins b="0.7500000000000101" l="0.70000000000000162" r="0.70000000000000162" t="0.75000000000001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Contract Analyst vs. Contract RFP: Overall</a:t>
            </a:r>
          </a:p>
        </c:rich>
      </c:tx>
      <c:overlay val="0"/>
    </c:title>
    <c:autoTitleDeleted val="0"/>
    <c:plotArea>
      <c:layout/>
      <c:barChart>
        <c:barDir val="col"/>
        <c:grouping val="stacked"/>
        <c:varyColors val="0"/>
        <c:ser>
          <c:idx val="0"/>
          <c:order val="0"/>
          <c:tx>
            <c:strRef>
              <c:f>'Category (2018)'!$AO$6</c:f>
              <c:strCache>
                <c:ptCount val="1"/>
                <c:pt idx="0">
                  <c:v>Contract RFP</c:v>
                </c:pt>
              </c:strCache>
            </c:strRef>
          </c:tx>
          <c:invertIfNegative val="0"/>
          <c:cat>
            <c:numRef>
              <c:f>'Category (2018)'!$AP$5:$AR$5</c:f>
              <c:numCache>
                <c:formatCode>General</c:formatCode>
                <c:ptCount val="3"/>
                <c:pt idx="0">
                  <c:v>2016</c:v>
                </c:pt>
                <c:pt idx="1">
                  <c:v>2017</c:v>
                </c:pt>
                <c:pt idx="2">
                  <c:v>2018</c:v>
                </c:pt>
              </c:numCache>
            </c:numRef>
          </c:cat>
          <c:val>
            <c:numRef>
              <c:f>'Category (2018)'!$AP$6:$AR$6</c:f>
              <c:numCache>
                <c:formatCode>"$"#,##0_);\("$"#,##0\)</c:formatCode>
                <c:ptCount val="3"/>
                <c:pt idx="0">
                  <c:v>508000</c:v>
                </c:pt>
                <c:pt idx="1">
                  <c:v>480300</c:v>
                </c:pt>
                <c:pt idx="2">
                  <c:v>488700</c:v>
                </c:pt>
              </c:numCache>
            </c:numRef>
          </c:val>
        </c:ser>
        <c:ser>
          <c:idx val="1"/>
          <c:order val="1"/>
          <c:tx>
            <c:strRef>
              <c:f>'Category (2018)'!$AO$7</c:f>
              <c:strCache>
                <c:ptCount val="1"/>
                <c:pt idx="0">
                  <c:v>Contract Analysts</c:v>
                </c:pt>
              </c:strCache>
            </c:strRef>
          </c:tx>
          <c:spPr>
            <a:solidFill>
              <a:schemeClr val="accent1">
                <a:lumMod val="40000"/>
                <a:lumOff val="60000"/>
              </a:schemeClr>
            </a:solidFill>
          </c:spPr>
          <c:invertIfNegative val="0"/>
          <c:cat>
            <c:numRef>
              <c:f>'Category (2018)'!$AP$5:$AR$5</c:f>
              <c:numCache>
                <c:formatCode>General</c:formatCode>
                <c:ptCount val="3"/>
                <c:pt idx="0">
                  <c:v>2016</c:v>
                </c:pt>
                <c:pt idx="1">
                  <c:v>2017</c:v>
                </c:pt>
                <c:pt idx="2">
                  <c:v>2018</c:v>
                </c:pt>
              </c:numCache>
            </c:numRef>
          </c:cat>
          <c:val>
            <c:numRef>
              <c:f>'Category (2018)'!$AP$7:$AR$7</c:f>
              <c:numCache>
                <c:formatCode>"$"#,##0_);\("$"#,##0\)</c:formatCode>
                <c:ptCount val="3"/>
                <c:pt idx="0">
                  <c:v>1020000</c:v>
                </c:pt>
                <c:pt idx="1">
                  <c:v>1162500</c:v>
                </c:pt>
                <c:pt idx="2">
                  <c:v>1192000</c:v>
                </c:pt>
              </c:numCache>
            </c:numRef>
          </c:val>
        </c:ser>
        <c:ser>
          <c:idx val="2"/>
          <c:order val="2"/>
          <c:tx>
            <c:strRef>
              <c:f>'Category (2018)'!$AO$8</c:f>
              <c:strCache>
                <c:ptCount val="1"/>
                <c:pt idx="0">
                  <c:v>RTF Manager</c:v>
                </c:pt>
              </c:strCache>
            </c:strRef>
          </c:tx>
          <c:invertIfNegative val="0"/>
          <c:val>
            <c:numRef>
              <c:f>'Category (2018)'!$AP$8:$AR$8</c:f>
              <c:numCache>
                <c:formatCode>"$"#,##0_);\("$"#,##0\)</c:formatCode>
                <c:ptCount val="3"/>
                <c:pt idx="0">
                  <c:v>135000</c:v>
                </c:pt>
                <c:pt idx="1">
                  <c:v>147000</c:v>
                </c:pt>
                <c:pt idx="2">
                  <c:v>153000</c:v>
                </c:pt>
              </c:numCache>
            </c:numRef>
          </c:val>
        </c:ser>
        <c:dLbls>
          <c:showLegendKey val="0"/>
          <c:showVal val="0"/>
          <c:showCatName val="0"/>
          <c:showSerName val="0"/>
          <c:showPercent val="0"/>
          <c:showBubbleSize val="0"/>
        </c:dLbls>
        <c:gapWidth val="150"/>
        <c:overlap val="100"/>
        <c:axId val="448025864"/>
        <c:axId val="448026256"/>
      </c:barChart>
      <c:catAx>
        <c:axId val="448025864"/>
        <c:scaling>
          <c:orientation val="minMax"/>
        </c:scaling>
        <c:delete val="0"/>
        <c:axPos val="b"/>
        <c:numFmt formatCode="General" sourceLinked="1"/>
        <c:majorTickMark val="out"/>
        <c:minorTickMark val="none"/>
        <c:tickLblPos val="nextTo"/>
        <c:crossAx val="448026256"/>
        <c:crosses val="autoZero"/>
        <c:auto val="1"/>
        <c:lblAlgn val="ctr"/>
        <c:lblOffset val="100"/>
        <c:noMultiLvlLbl val="0"/>
      </c:catAx>
      <c:valAx>
        <c:axId val="448026256"/>
        <c:scaling>
          <c:orientation val="minMax"/>
        </c:scaling>
        <c:delete val="0"/>
        <c:axPos val="l"/>
        <c:majorGridlines/>
        <c:numFmt formatCode="&quot;$&quot;#,##0_);\(&quot;$&quot;#,##0\)" sourceLinked="1"/>
        <c:majorTickMark val="out"/>
        <c:minorTickMark val="none"/>
        <c:tickLblPos val="nextTo"/>
        <c:crossAx val="448025864"/>
        <c:crosses val="autoZero"/>
        <c:crossBetween val="between"/>
      </c:valAx>
    </c:plotArea>
    <c:legend>
      <c:legendPos val="r"/>
      <c:overlay val="0"/>
    </c:legend>
    <c:plotVisOnly val="1"/>
    <c:dispBlanksAs val="gap"/>
    <c:showDLblsOverMax val="0"/>
  </c:chart>
  <c:txPr>
    <a:bodyPr/>
    <a:lstStyle/>
    <a:p>
      <a:pPr>
        <a:defRPr sz="1400"/>
      </a:pPr>
      <a:endParaRPr lang="en-US"/>
    </a:p>
  </c:txPr>
  <c:printSettings>
    <c:headerFooter/>
    <c:pageMargins b="0.7500000000000101" l="0.70000000000000162" r="0.70000000000000162" t="0.75000000000001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2017 Breakdown</a:t>
            </a:r>
          </a:p>
        </c:rich>
      </c:tx>
      <c:overlay val="0"/>
    </c:title>
    <c:autoTitleDeleted val="0"/>
    <c:plotArea>
      <c:layout/>
      <c:pieChart>
        <c:varyColors val="1"/>
        <c:ser>
          <c:idx val="0"/>
          <c:order val="0"/>
          <c:tx>
            <c:v>2013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('Category (2018)'!$AH$6,'Category (2018)'!$AH$9,'Category (2018)'!$AH$12)</c:f>
              <c:numCache>
                <c:formatCode>0%</c:formatCode>
                <c:ptCount val="3"/>
                <c:pt idx="0">
                  <c:v>0.64727902558945138</c:v>
                </c:pt>
                <c:pt idx="1">
                  <c:v>8.6601854955860993E-2</c:v>
                </c:pt>
                <c:pt idx="2">
                  <c:v>0.26611911945468769</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2018 Breakdown</a:t>
            </a:r>
          </a:p>
        </c:rich>
      </c:tx>
      <c:overlay val="0"/>
    </c:title>
    <c:autoTitleDeleted val="0"/>
    <c:plotArea>
      <c:layout/>
      <c:pieChart>
        <c:varyColors val="1"/>
        <c:ser>
          <c:idx val="0"/>
          <c:order val="0"/>
          <c:tx>
            <c:v>2018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Technical Analysis</c:v>
              </c:pt>
              <c:pt idx="1">
                <c:v>Tool Development and Regional Coordination</c:v>
              </c:pt>
              <c:pt idx="2">
                <c:v>Administration</c:v>
              </c:pt>
            </c:strLit>
          </c:cat>
          <c:val>
            <c:numRef>
              <c:f>('Category (2018)'!$AM$6,'Category (2018)'!$AM$9,'Category (2018)'!$AM$12)</c:f>
              <c:numCache>
                <c:formatCode>0%</c:formatCode>
                <c:ptCount val="3"/>
                <c:pt idx="0">
                  <c:v>0.54779953100289036</c:v>
                </c:pt>
                <c:pt idx="1">
                  <c:v>0.18269073458035665</c:v>
                </c:pt>
                <c:pt idx="2">
                  <c:v>0.26950973441675302</c:v>
                </c:pt>
              </c:numCache>
            </c:numRef>
          </c:val>
          <c:extLst/>
        </c:ser>
        <c:dLbls>
          <c:showLegendKey val="0"/>
          <c:showVal val="0"/>
          <c:showCatName val="0"/>
          <c:showSerName val="0"/>
          <c:showPercent val="0"/>
          <c:showBubbleSize val="0"/>
          <c:showLeaderLines val="1"/>
        </c:dLbls>
        <c:firstSliceAng val="0"/>
      </c:pieChart>
    </c:plotArea>
    <c:legend>
      <c:legendPos val="b"/>
      <c:overlay val="0"/>
      <c:txPr>
        <a:bodyPr/>
        <a:lstStyle/>
        <a:p>
          <a:pPr rtl="0">
            <a:defRPr/>
          </a:pPr>
          <a:endParaRPr lang="en-US"/>
        </a:p>
      </c:txPr>
    </c:legend>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'Category (2018)'!$B$14</c:f>
              <c:strCache>
                <c:ptCount val="1"/>
                <c:pt idx="0">
                  <c:v>RTF Management</c:v>
                </c:pt>
              </c:strCache>
            </c:strRef>
          </c:tx>
          <c:invertIfNegative val="0"/>
          <c:cat>
            <c:numLit>
              <c:formatCode>General</c:formatCode>
              <c:ptCount val="3"/>
              <c:pt idx="0">
                <c:v>2016</c:v>
              </c:pt>
              <c:pt idx="1">
                <c:v>2017</c:v>
              </c:pt>
              <c:pt idx="2">
                <c:v>2018</c:v>
              </c:pt>
            </c:numLit>
          </c:cat>
          <c:val>
            <c:numRef>
              <c:f>('Category (2018)'!$R$14,'Category (2018)'!$K$14,'Category (2018)'!$D$14)</c:f>
              <c:numCache>
                <c:formatCode>"$"#,##0_);\("$"#,##0\)</c:formatCode>
                <c:ptCount val="3"/>
                <c:pt idx="0">
                  <c:v>0</c:v>
                </c:pt>
                <c:pt idx="1">
                  <c:v>5000</c:v>
                </c:pt>
                <c:pt idx="2">
                  <c:v>0</c:v>
                </c:pt>
              </c:numCache>
            </c:numRef>
          </c:val>
        </c:ser>
        <c:ser>
          <c:idx val="7"/>
          <c:order val="1"/>
          <c:tx>
            <c:strRef>
              <c:f>'Category (2018)'!$B$13</c:f>
              <c:strCache>
                <c:ptCount val="1"/>
                <c:pt idx="0">
                  <c:v>RTF Member Support &amp; Administration</c:v>
                </c:pt>
              </c:strCache>
            </c:strRef>
          </c:tx>
          <c:invertIfNegative val="0"/>
          <c:cat>
            <c:numLit>
              <c:formatCode>General</c:formatCode>
              <c:ptCount val="3"/>
              <c:pt idx="0">
                <c:v>2016</c:v>
              </c:pt>
              <c:pt idx="1">
                <c:v>2017</c:v>
              </c:pt>
              <c:pt idx="2">
                <c:v>2018</c:v>
              </c:pt>
            </c:numLit>
          </c:cat>
          <c:val>
            <c:numRef>
              <c:f>('Category (2018)'!$R$13,'Category (2018)'!$K$13,'Category (2018)'!$D$13)</c:f>
              <c:numCache>
                <c:formatCode>"$"#,##0_);\("$"#,##0\)</c:formatCode>
                <c:ptCount val="3"/>
                <c:pt idx="0">
                  <c:v>65000</c:v>
                </c:pt>
                <c:pt idx="1">
                  <c:v>75000</c:v>
                </c:pt>
                <c:pt idx="2">
                  <c:v>75000</c:v>
                </c:pt>
              </c:numCache>
            </c:numRef>
          </c:val>
        </c:ser>
        <c:ser>
          <c:idx val="6"/>
          <c:order val="2"/>
          <c:tx>
            <c:strRef>
              <c:f>'Category (2018)'!$B$12</c:f>
              <c:strCache>
                <c:ptCount val="1"/>
                <c:pt idx="0">
                  <c:v>Website, Database support, Conservation Tracking </c:v>
                </c:pt>
              </c:strCache>
            </c:strRef>
          </c:tx>
          <c:invertIfNegative val="0"/>
          <c:cat>
            <c:numLit>
              <c:formatCode>General</c:formatCode>
              <c:ptCount val="3"/>
              <c:pt idx="0">
                <c:v>2016</c:v>
              </c:pt>
              <c:pt idx="1">
                <c:v>2017</c:v>
              </c:pt>
              <c:pt idx="2">
                <c:v>2018</c:v>
              </c:pt>
            </c:numLit>
          </c:cat>
          <c:val>
            <c:numRef>
              <c:f>('Category (2018)'!$R$12,'Category (2018)'!$K$12,'Category (2018)'!$D$12)</c:f>
              <c:numCache>
                <c:formatCode>"$"#,##0_);\("$"#,##0\)</c:formatCode>
                <c:ptCount val="3"/>
                <c:pt idx="0">
                  <c:v>20000</c:v>
                </c:pt>
                <c:pt idx="1">
                  <c:v>10000</c:v>
                </c:pt>
                <c:pt idx="2">
                  <c:v>10000</c:v>
                </c:pt>
              </c:numCache>
            </c:numRef>
          </c:val>
        </c:ser>
        <c:ser>
          <c:idx val="5"/>
          <c:order val="3"/>
          <c:tx>
            <c:strRef>
              <c:f>'Category (2018)'!$B$11</c:f>
              <c:strCache>
                <c:ptCount val="1"/>
                <c:pt idx="0">
                  <c:v>Regional Coordination (Research and Data Development)</c:v>
                </c:pt>
              </c:strCache>
            </c:strRef>
          </c:tx>
          <c:invertIfNegative val="0"/>
          <c:cat>
            <c:numLit>
              <c:formatCode>General</c:formatCode>
              <c:ptCount val="3"/>
              <c:pt idx="0">
                <c:v>2016</c:v>
              </c:pt>
              <c:pt idx="1">
                <c:v>2017</c:v>
              </c:pt>
              <c:pt idx="2">
                <c:v>2018</c:v>
              </c:pt>
            </c:numLit>
          </c:cat>
          <c:val>
            <c:numRef>
              <c:f>('Category (2018)'!$R$11,'Category (2018)'!$K$11,'Category (2018)'!$D$11)</c:f>
              <c:numCache>
                <c:formatCode>"$"#,##0_);\("$"#,##0\)</c:formatCode>
                <c:ptCount val="3"/>
                <c:pt idx="0">
                  <c:v>135000</c:v>
                </c:pt>
                <c:pt idx="1">
                  <c:v>115000</c:v>
                </c:pt>
                <c:pt idx="2">
                  <c:v>215000</c:v>
                </c:pt>
              </c:numCache>
            </c:numRef>
          </c:val>
        </c:ser>
        <c:ser>
          <c:idx val="4"/>
          <c:order val="4"/>
          <c:tx>
            <c:strRef>
              <c:f>'Category (2018)'!$B$10</c:f>
              <c:strCache>
                <c:ptCount val="1"/>
                <c:pt idx="0">
                  <c:v>Research Projects &amp; Data Development</c:v>
                </c:pt>
              </c:strCache>
            </c:strRef>
          </c:tx>
          <c:invertIfNegative val="0"/>
          <c:cat>
            <c:numLit>
              <c:formatCode>General</c:formatCode>
              <c:ptCount val="3"/>
              <c:pt idx="0">
                <c:v>2016</c:v>
              </c:pt>
              <c:pt idx="1">
                <c:v>2017</c:v>
              </c:pt>
              <c:pt idx="2">
                <c:v>2018</c:v>
              </c:pt>
            </c:numLit>
          </c:cat>
          <c:val>
            <c:numRef>
              <c:f>('Category (2018)'!$R$10,'Category (2018)'!$K$10,'Category (2018)'!$D$10)</c:f>
              <c:numCache>
                <c:formatCode>"$"#,##0_);\("$"#,##0\)</c:formatCode>
                <c:ptCount val="3"/>
                <c:pt idx="0">
                  <c:v>0</c:v>
                </c:pt>
                <c:pt idx="1">
                  <c:v>0</c:v>
                </c:pt>
                <c:pt idx="2">
                  <c:v>0</c:v>
                </c:pt>
              </c:numCache>
            </c:numRef>
          </c:val>
        </c:ser>
        <c:ser>
          <c:idx val="3"/>
          <c:order val="5"/>
          <c:tx>
            <c:strRef>
              <c:f>'Category (2018)'!$B$9</c:f>
              <c:strCache>
                <c:ptCount val="1"/>
                <c:pt idx="0">
                  <c:v>Tool Development</c:v>
                </c:pt>
              </c:strCache>
            </c:strRef>
          </c:tx>
          <c:invertIfNegative val="0"/>
          <c:cat>
            <c:numLit>
              <c:formatCode>General</c:formatCode>
              <c:ptCount val="3"/>
              <c:pt idx="0">
                <c:v>2016</c:v>
              </c:pt>
              <c:pt idx="1">
                <c:v>2017</c:v>
              </c:pt>
              <c:pt idx="2">
                <c:v>2018</c:v>
              </c:pt>
            </c:numLit>
          </c:cat>
          <c:val>
            <c:numRef>
              <c:f>('Category (2018)'!$R$9,'Category (2018)'!$K$9,'Category (2018)'!$D$9)</c:f>
              <c:numCache>
                <c:formatCode>"$"#,##0_);\("$"#,##0\)</c:formatCode>
                <c:ptCount val="3"/>
                <c:pt idx="0">
                  <c:v>60000</c:v>
                </c:pt>
                <c:pt idx="1">
                  <c:v>20000</c:v>
                </c:pt>
                <c:pt idx="2">
                  <c:v>50000</c:v>
                </c:pt>
              </c:numCache>
            </c:numRef>
          </c:val>
        </c:ser>
        <c:ser>
          <c:idx val="2"/>
          <c:order val="6"/>
          <c:tx>
            <c:strRef>
              <c:f>'Category (2018)'!$B$8</c:f>
              <c:strCache>
                <c:ptCount val="1"/>
                <c:pt idx="0">
                  <c:v>Standardization of Technical Analysis</c:v>
                </c:pt>
              </c:strCache>
            </c:strRef>
          </c:tx>
          <c:invertIfNegative val="0"/>
          <c:cat>
            <c:numLit>
              <c:formatCode>General</c:formatCode>
              <c:ptCount val="3"/>
              <c:pt idx="0">
                <c:v>2016</c:v>
              </c:pt>
              <c:pt idx="1">
                <c:v>2017</c:v>
              </c:pt>
              <c:pt idx="2">
                <c:v>2018</c:v>
              </c:pt>
            </c:numLit>
          </c:cat>
          <c:val>
            <c:numRef>
              <c:f>('Category (2018)'!$R$8,'Category (2018)'!$K$8,'Category (2018)'!$D$8)</c:f>
              <c:numCache>
                <c:formatCode>"$"#,##0_);\("$"#,##0\)</c:formatCode>
                <c:ptCount val="3"/>
                <c:pt idx="0">
                  <c:v>175000</c:v>
                </c:pt>
                <c:pt idx="1">
                  <c:v>225000</c:v>
                </c:pt>
                <c:pt idx="2">
                  <c:v>165000</c:v>
                </c:pt>
              </c:numCache>
            </c:numRef>
          </c:val>
        </c:ser>
        <c:ser>
          <c:idx val="1"/>
          <c:order val="7"/>
          <c:tx>
            <c:strRef>
              <c:f>'Category (2018)'!$B$7</c:f>
              <c:strCache>
                <c:ptCount val="1"/>
                <c:pt idx="0">
                  <c:v>New Measure Development &amp; Review of Unsolicited Proposals</c:v>
                </c:pt>
              </c:strCache>
            </c:strRef>
          </c:tx>
          <c:invertIfNegative val="0"/>
          <c:cat>
            <c:numLit>
              <c:formatCode>General</c:formatCode>
              <c:ptCount val="3"/>
              <c:pt idx="0">
                <c:v>2016</c:v>
              </c:pt>
              <c:pt idx="1">
                <c:v>2017</c:v>
              </c:pt>
              <c:pt idx="2">
                <c:v>2018</c:v>
              </c:pt>
            </c:numLit>
          </c:cat>
          <c:val>
            <c:numRef>
              <c:f>('Category (2018)'!$R$7,'Category (2018)'!$K$7,'Category (2018)'!$D$7)</c:f>
              <c:numCache>
                <c:formatCode>"$"#,##0_);\("$"#,##0\)</c:formatCode>
                <c:ptCount val="3"/>
                <c:pt idx="0">
                  <c:v>240000</c:v>
                </c:pt>
                <c:pt idx="1">
                  <c:v>367500</c:v>
                </c:pt>
                <c:pt idx="2">
                  <c:v>286000</c:v>
                </c:pt>
              </c:numCache>
            </c:numRef>
          </c:val>
        </c:ser>
        <c:ser>
          <c:idx val="0"/>
          <c:order val="8"/>
          <c:tx>
            <c:strRef>
              <c:f>'Category (2018)'!$B$6</c:f>
              <c:strCache>
                <c:ptCount val="1"/>
                <c:pt idx="0">
                  <c:v>Existing Measure Review &amp; Updates</c:v>
                </c:pt>
              </c:strCache>
            </c:strRef>
          </c:tx>
          <c:invertIfNegative val="0"/>
          <c:cat>
            <c:numLit>
              <c:formatCode>General</c:formatCode>
              <c:ptCount val="3"/>
              <c:pt idx="0">
                <c:v>2016</c:v>
              </c:pt>
              <c:pt idx="1">
                <c:v>2017</c:v>
              </c:pt>
              <c:pt idx="2">
                <c:v>2018</c:v>
              </c:pt>
            </c:numLit>
          </c:cat>
          <c:val>
            <c:numRef>
              <c:f>('Category (2018)'!$R$6,'Category (2018)'!$K$6,'Category (2018)'!$D$6)</c:f>
              <c:numCache>
                <c:formatCode>"$"#,##0_);\("$"#,##0\)</c:formatCode>
                <c:ptCount val="3"/>
                <c:pt idx="0">
                  <c:v>325000</c:v>
                </c:pt>
                <c:pt idx="1">
                  <c:v>345000</c:v>
                </c:pt>
                <c:pt idx="2">
                  <c:v>391000</c:v>
                </c:pt>
              </c:numCache>
            </c:numRef>
          </c:val>
        </c:ser>
        <c:dLbls>
          <c:showLegendKey val="0"/>
          <c:showVal val="0"/>
          <c:showCatName val="0"/>
          <c:showSerName val="0"/>
          <c:showPercent val="0"/>
          <c:showBubbleSize val="0"/>
        </c:dLbls>
        <c:gapWidth val="150"/>
        <c:overlap val="100"/>
        <c:axId val="448028608"/>
        <c:axId val="448029000"/>
      </c:barChart>
      <c:catAx>
        <c:axId val="448028608"/>
        <c:scaling>
          <c:orientation val="minMax"/>
        </c:scaling>
        <c:delete val="0"/>
        <c:axPos val="b"/>
        <c:numFmt formatCode="General" sourceLinked="1"/>
        <c:majorTickMark val="out"/>
        <c:minorTickMark val="none"/>
        <c:tickLblPos val="nextTo"/>
        <c:txPr>
          <a:bodyPr/>
          <a:lstStyle/>
          <a:p>
            <a:pPr>
              <a:defRPr sz="1800" b="1"/>
            </a:pPr>
            <a:endParaRPr lang="en-US"/>
          </a:p>
        </c:txPr>
        <c:crossAx val="448029000"/>
        <c:crosses val="autoZero"/>
        <c:auto val="1"/>
        <c:lblAlgn val="ctr"/>
        <c:lblOffset val="100"/>
        <c:noMultiLvlLbl val="0"/>
      </c:catAx>
      <c:valAx>
        <c:axId val="448029000"/>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48028608"/>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2016 Breakdown</a:t>
            </a:r>
          </a:p>
        </c:rich>
      </c:tx>
      <c:overlay val="0"/>
    </c:title>
    <c:autoTitleDeleted val="0"/>
    <c:plotArea>
      <c:layout/>
      <c:pieChart>
        <c:varyColors val="1"/>
        <c:ser>
          <c:idx val="0"/>
          <c:order val="0"/>
          <c:tx>
            <c:v>2016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'Category (2018)'!$X$6:$X$14</c:f>
              <c:strCache>
                <c:ptCount val="7"/>
                <c:pt idx="0">
                  <c:v>Technical Analysis</c:v>
                </c:pt>
                <c:pt idx="3">
                  <c:v>Tool Development, Research, Regional Coordination </c:v>
                </c:pt>
                <c:pt idx="6">
                  <c:v>Administration</c:v>
                </c:pt>
              </c:strCache>
            </c:strRef>
          </c:cat>
          <c:val>
            <c:numRef>
              <c:f>('Category (2018)'!$AC$6,'Category (2018)'!$AC$9,'Category (2018)'!$AC$12)</c:f>
              <c:numCache>
                <c:formatCode>0%</c:formatCode>
                <c:ptCount val="3"/>
                <c:pt idx="0">
                  <c:v>0.59260372820204454</c:v>
                </c:pt>
                <c:pt idx="1">
                  <c:v>0.132291040288635</c:v>
                </c:pt>
                <c:pt idx="2">
                  <c:v>0.27510523150932048</c:v>
                </c:pt>
              </c:numCache>
            </c:numRef>
          </c:val>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layout>
        <c:manualLayout>
          <c:xMode val="edge"/>
          <c:yMode val="edge"/>
          <c:x val="0.33696413386391294"/>
          <c:y val="1.3665202537823329E-2"/>
        </c:manualLayout>
      </c:layout>
      <c:overlay val="1"/>
    </c:title>
    <c:autoTitleDeleted val="0"/>
    <c:plotArea>
      <c:layout/>
      <c:barChart>
        <c:barDir val="col"/>
        <c:grouping val="percentStacked"/>
        <c:varyColors val="0"/>
        <c:ser>
          <c:idx val="1"/>
          <c:order val="0"/>
          <c:tx>
            <c:strRef>
              <c:f>'Category (2018)'!$O$123</c:f>
              <c:strCache>
                <c:ptCount val="1"/>
                <c:pt idx="0">
                  <c:v>Contract RFP</c:v>
                </c:pt>
              </c:strCache>
            </c:strRef>
          </c:tx>
          <c:invertIfNegative val="0"/>
          <c:cat>
            <c:numRef>
              <c:f>'Category (2018)'!$Q$122:$R$122</c:f>
              <c:numCache>
                <c:formatCode>General</c:formatCode>
                <c:ptCount val="2"/>
                <c:pt idx="0">
                  <c:v>2017</c:v>
                </c:pt>
                <c:pt idx="1">
                  <c:v>2018</c:v>
                </c:pt>
              </c:numCache>
            </c:numRef>
          </c:cat>
          <c:val>
            <c:numRef>
              <c:f>'Category (2018)'!$Q$123:$R$123</c:f>
              <c:numCache>
                <c:formatCode>"$"#,##0_);\("$"#,##0\)</c:formatCode>
                <c:ptCount val="2"/>
                <c:pt idx="0">
                  <c:v>480300</c:v>
                </c:pt>
                <c:pt idx="1">
                  <c:v>488700</c:v>
                </c:pt>
              </c:numCache>
            </c:numRef>
          </c:val>
        </c:ser>
        <c:ser>
          <c:idx val="0"/>
          <c:order val="1"/>
          <c:tx>
            <c:strRef>
              <c:f>'Category (2018)'!$O$125</c:f>
              <c:strCache>
                <c:ptCount val="1"/>
                <c:pt idx="0">
                  <c:v>Contract Analyst Team and RTF Manager</c:v>
                </c:pt>
              </c:strCache>
            </c:strRef>
          </c:tx>
          <c:invertIfNegative val="0"/>
          <c:cat>
            <c:numRef>
              <c:f>'Category (2018)'!$Q$122:$R$122</c:f>
              <c:numCache>
                <c:formatCode>General</c:formatCode>
                <c:ptCount val="2"/>
                <c:pt idx="0">
                  <c:v>2017</c:v>
                </c:pt>
                <c:pt idx="1">
                  <c:v>2018</c:v>
                </c:pt>
              </c:numCache>
            </c:numRef>
          </c:cat>
          <c:val>
            <c:numRef>
              <c:f>'Category (2018)'!$Q$125:$R$125</c:f>
              <c:numCache>
                <c:formatCode>"$"#,##0_);\("$"#,##0\)</c:formatCode>
                <c:ptCount val="2"/>
                <c:pt idx="0">
                  <c:v>1309500</c:v>
                </c:pt>
                <c:pt idx="1">
                  <c:v>1345000</c:v>
                </c:pt>
              </c:numCache>
            </c:numRef>
          </c:val>
        </c:ser>
        <c:dLbls>
          <c:showLegendKey val="0"/>
          <c:showVal val="0"/>
          <c:showCatName val="0"/>
          <c:showSerName val="0"/>
          <c:showPercent val="0"/>
          <c:showBubbleSize val="0"/>
        </c:dLbls>
        <c:gapWidth val="150"/>
        <c:overlap val="100"/>
        <c:axId val="448065712"/>
        <c:axId val="448066104"/>
      </c:barChart>
      <c:catAx>
        <c:axId val="448065712"/>
        <c:scaling>
          <c:orientation val="minMax"/>
        </c:scaling>
        <c:delete val="0"/>
        <c:axPos val="b"/>
        <c:numFmt formatCode="General" sourceLinked="1"/>
        <c:majorTickMark val="out"/>
        <c:minorTickMark val="none"/>
        <c:tickLblPos val="nextTo"/>
        <c:txPr>
          <a:bodyPr/>
          <a:lstStyle/>
          <a:p>
            <a:pPr>
              <a:defRPr sz="1800" b="1"/>
            </a:pPr>
            <a:endParaRPr lang="en-US"/>
          </a:p>
        </c:txPr>
        <c:crossAx val="448066104"/>
        <c:crosses val="autoZero"/>
        <c:auto val="1"/>
        <c:lblAlgn val="ctr"/>
        <c:lblOffset val="100"/>
        <c:noMultiLvlLbl val="0"/>
      </c:catAx>
      <c:valAx>
        <c:axId val="448066104"/>
        <c:scaling>
          <c:orientation val="minMax"/>
        </c:scaling>
        <c:delete val="0"/>
        <c:axPos val="l"/>
        <c:numFmt formatCode="0%" sourceLinked="1"/>
        <c:majorTickMark val="out"/>
        <c:minorTickMark val="none"/>
        <c:tickLblPos val="nextTo"/>
        <c:txPr>
          <a:bodyPr/>
          <a:lstStyle/>
          <a:p>
            <a:pPr>
              <a:defRPr sz="1200"/>
            </a:pPr>
            <a:endParaRPr lang="en-US"/>
          </a:p>
        </c:txPr>
        <c:crossAx val="44806571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13</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13</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46</xdr:col>
      <xdr:colOff>44823</xdr:colOff>
      <xdr:row>4</xdr:row>
      <xdr:rowOff>44825</xdr:rowOff>
    </xdr:from>
    <xdr:to>
      <xdr:col>61</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585507</xdr:colOff>
      <xdr:row>10</xdr:row>
      <xdr:rowOff>261237</xdr:rowOff>
    </xdr:from>
    <xdr:to>
      <xdr:col>45</xdr:col>
      <xdr:colOff>383801</xdr:colOff>
      <xdr:row>21</xdr:row>
      <xdr:rowOff>60932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22413</xdr:colOff>
      <xdr:row>16</xdr:row>
      <xdr:rowOff>11207</xdr:rowOff>
    </xdr:from>
    <xdr:to>
      <xdr:col>29</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885266</xdr:colOff>
      <xdr:row>16</xdr:row>
      <xdr:rowOff>1</xdr:rowOff>
    </xdr:from>
    <xdr:to>
      <xdr:col>36</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14</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xdr:col>
      <xdr:colOff>33619</xdr:colOff>
      <xdr:row>16</xdr:row>
      <xdr:rowOff>0</xdr:rowOff>
    </xdr:from>
    <xdr:to>
      <xdr:col>24</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14</xdr:col>
      <xdr:colOff>1682</xdr:colOff>
      <xdr:row>154</xdr:row>
      <xdr:rowOff>28575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449036</xdr:colOff>
      <xdr:row>36</xdr:row>
      <xdr:rowOff>13607</xdr:rowOff>
    </xdr:from>
    <xdr:to>
      <xdr:col>32</xdr:col>
      <xdr:colOff>218516</xdr:colOff>
      <xdr:row>69</xdr:row>
      <xdr:rowOff>8784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27214</xdr:colOff>
      <xdr:row>158</xdr:row>
      <xdr:rowOff>163286</xdr:rowOff>
    </xdr:from>
    <xdr:to>
      <xdr:col>13</xdr:col>
      <xdr:colOff>569179</xdr:colOff>
      <xdr:row>193</xdr:row>
      <xdr:rowOff>1361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195</xdr:row>
      <xdr:rowOff>0</xdr:rowOff>
    </xdr:from>
    <xdr:to>
      <xdr:col>14</xdr:col>
      <xdr:colOff>1682</xdr:colOff>
      <xdr:row>229</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230</xdr:row>
      <xdr:rowOff>0</xdr:rowOff>
    </xdr:from>
    <xdr:to>
      <xdr:col>14</xdr:col>
      <xdr:colOff>1682</xdr:colOff>
      <xdr:row>264</xdr:row>
      <xdr:rowOff>28575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37</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37</xdr:row>
      <xdr:rowOff>142874</xdr:rowOff>
    </xdr:from>
    <xdr:to>
      <xdr:col>16</xdr:col>
      <xdr:colOff>609600</xdr:colOff>
      <xdr:row>54</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56</xdr:row>
      <xdr:rowOff>76200</xdr:rowOff>
    </xdr:from>
    <xdr:to>
      <xdr:col>16</xdr:col>
      <xdr:colOff>619124</xdr:colOff>
      <xdr:row>73</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L/RTF/RTF%20PAC/Funding/PAC-projections-2015-2019-by_fund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14-2016)"/>
      <sheetName val="Category Detail (2014)"/>
      <sheetName val="NPCC In Kind"/>
      <sheetName val="Funding Shares"/>
    </sheetNames>
    <sheetDataSet>
      <sheetData sheetId="0">
        <row r="39">
          <cell r="D39">
            <v>1669714.375</v>
          </cell>
          <cell r="E39">
            <v>1696261.1170312497</v>
          </cell>
          <cell r="F39">
            <v>1825084.4590257024</v>
          </cell>
          <cell r="G39">
            <v>1870109.6448447423</v>
          </cell>
          <cell r="H39">
            <v>1912303.393579819</v>
          </cell>
        </row>
      </sheetData>
      <sheetData sheetId="1"/>
      <sheetData sheetId="2">
        <row r="2">
          <cell r="K2">
            <v>160000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11"/>
  <sheetViews>
    <sheetView tabSelected="1" workbookViewId="0"/>
  </sheetViews>
  <sheetFormatPr defaultColWidth="8.85546875" defaultRowHeight="15" x14ac:dyDescent="0.25"/>
  <cols>
    <col min="2" max="2" width="27.85546875" customWidth="1"/>
    <col min="3" max="3" width="92" customWidth="1"/>
    <col min="4" max="4" width="9.7109375" bestFit="1" customWidth="1"/>
  </cols>
  <sheetData>
    <row r="1" spans="2:3" ht="18.75" x14ac:dyDescent="0.3">
      <c r="B1" s="166" t="s">
        <v>95</v>
      </c>
    </row>
    <row r="2" spans="2:3" x14ac:dyDescent="0.25">
      <c r="B2" s="5" t="s">
        <v>329</v>
      </c>
      <c r="C2" s="4"/>
    </row>
    <row r="4" spans="2:3" ht="15.75" x14ac:dyDescent="0.25">
      <c r="B4" s="82" t="s">
        <v>92</v>
      </c>
      <c r="C4" s="82" t="s">
        <v>93</v>
      </c>
    </row>
    <row r="5" spans="2:3" ht="15.75" x14ac:dyDescent="0.25">
      <c r="B5" s="83" t="s">
        <v>95</v>
      </c>
      <c r="C5" s="35"/>
    </row>
    <row r="6" spans="2:3" ht="78.75" x14ac:dyDescent="0.25">
      <c r="B6" s="298" t="s">
        <v>279</v>
      </c>
      <c r="C6" s="299" t="s">
        <v>280</v>
      </c>
    </row>
    <row r="7" spans="2:3" ht="63" x14ac:dyDescent="0.25">
      <c r="B7" s="298" t="s">
        <v>281</v>
      </c>
      <c r="C7" s="299" t="s">
        <v>282</v>
      </c>
    </row>
    <row r="8" spans="2:3" ht="31.5" x14ac:dyDescent="0.25">
      <c r="B8" s="298" t="s">
        <v>170</v>
      </c>
      <c r="C8" s="84" t="s">
        <v>204</v>
      </c>
    </row>
    <row r="9" spans="2:3" ht="15.75" x14ac:dyDescent="0.25">
      <c r="B9" s="83" t="s">
        <v>97</v>
      </c>
      <c r="C9" s="84" t="s">
        <v>99</v>
      </c>
    </row>
    <row r="10" spans="2:3" ht="31.5" x14ac:dyDescent="0.25">
      <c r="B10" s="83" t="s">
        <v>98</v>
      </c>
      <c r="C10" s="84" t="s">
        <v>168</v>
      </c>
    </row>
    <row r="11" spans="2:3" ht="31.5" x14ac:dyDescent="0.25">
      <c r="B11" s="83" t="s">
        <v>118</v>
      </c>
      <c r="C11" s="84" t="s">
        <v>140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125"/>
  <sheetViews>
    <sheetView topLeftCell="A157" zoomScale="80" zoomScaleNormal="80" zoomScalePageLayoutView="85" workbookViewId="0">
      <selection activeCell="J195" sqref="J195"/>
    </sheetView>
  </sheetViews>
  <sheetFormatPr defaultColWidth="8.85546875" defaultRowHeight="15" x14ac:dyDescent="0.25"/>
  <cols>
    <col min="2" max="2" width="52.7109375" customWidth="1"/>
    <col min="3" max="7" width="14.28515625" customWidth="1"/>
    <col min="8" max="8" width="10.7109375" bestFit="1" customWidth="1"/>
    <col min="9" max="9" width="12.28515625" bestFit="1" customWidth="1"/>
    <col min="10" max="14" width="14.28515625" customWidth="1"/>
    <col min="15" max="15" width="10.85546875" customWidth="1"/>
    <col min="16" max="16" width="12.42578125" customWidth="1"/>
    <col min="17" max="21" width="14.28515625" customWidth="1"/>
    <col min="22" max="22" width="10.85546875" customWidth="1"/>
    <col min="23" max="23" width="16" customWidth="1"/>
    <col min="24" max="24" width="16.85546875" customWidth="1"/>
    <col min="25" max="38" width="12.85546875" customWidth="1"/>
    <col min="39" max="39" width="10.5703125" bestFit="1" customWidth="1"/>
    <col min="40" max="40" width="14.42578125" customWidth="1"/>
    <col min="41" max="41" width="14" customWidth="1"/>
    <col min="42" max="44" width="13" bestFit="1" customWidth="1"/>
    <col min="65" max="65" width="12.7109375" bestFit="1" customWidth="1"/>
    <col min="71" max="71" width="10.85546875" customWidth="1"/>
  </cols>
  <sheetData>
    <row r="1" spans="2:65" ht="18.75" x14ac:dyDescent="0.3">
      <c r="B1" s="166" t="s">
        <v>169</v>
      </c>
    </row>
    <row r="2" spans="2:65" x14ac:dyDescent="0.25">
      <c r="B2" s="1" t="str">
        <f>'Table of Contents'!B2</f>
        <v>Approved 2018 RTF Work Plan (October 10, 2017)</v>
      </c>
    </row>
    <row r="3" spans="2:65" x14ac:dyDescent="0.25">
      <c r="B3" s="2"/>
      <c r="J3" s="429"/>
      <c r="K3" s="429"/>
      <c r="L3" s="429"/>
      <c r="M3" s="429"/>
      <c r="N3" s="429"/>
      <c r="Q3" s="432"/>
      <c r="R3" s="432"/>
      <c r="S3" s="432"/>
      <c r="T3" s="432"/>
      <c r="U3" s="432"/>
    </row>
    <row r="4" spans="2:65" ht="26.25" customHeight="1" x14ac:dyDescent="0.25">
      <c r="B4" s="19"/>
      <c r="C4" s="426" t="s">
        <v>284</v>
      </c>
      <c r="D4" s="427"/>
      <c r="E4" s="427"/>
      <c r="F4" s="427"/>
      <c r="G4" s="428"/>
      <c r="H4" s="19"/>
      <c r="J4" s="426" t="s">
        <v>283</v>
      </c>
      <c r="K4" s="427"/>
      <c r="L4" s="427"/>
      <c r="M4" s="427"/>
      <c r="N4" s="428"/>
      <c r="O4" s="11"/>
      <c r="Q4" s="430" t="s">
        <v>256</v>
      </c>
      <c r="R4" s="431"/>
      <c r="S4" s="431"/>
      <c r="T4" s="431"/>
      <c r="U4" s="431"/>
      <c r="W4" s="11"/>
      <c r="Y4" s="426" t="s">
        <v>256</v>
      </c>
      <c r="Z4" s="427"/>
      <c r="AA4" s="427"/>
      <c r="AB4" s="427"/>
      <c r="AC4" s="434"/>
      <c r="AD4" s="433" t="s">
        <v>283</v>
      </c>
      <c r="AE4" s="427"/>
      <c r="AF4" s="427"/>
      <c r="AG4" s="427"/>
      <c r="AH4" s="434"/>
      <c r="AI4" s="433" t="s">
        <v>284</v>
      </c>
      <c r="AJ4" s="427"/>
      <c r="AK4" s="427"/>
      <c r="AL4" s="428"/>
      <c r="AM4" s="11"/>
      <c r="AN4" s="11"/>
      <c r="AO4" s="11"/>
      <c r="AP4" s="11"/>
    </row>
    <row r="5" spans="2:65" ht="78.75" x14ac:dyDescent="0.25">
      <c r="B5" s="47" t="s">
        <v>47</v>
      </c>
      <c r="C5" s="297" t="s">
        <v>315</v>
      </c>
      <c r="D5" s="297" t="s">
        <v>316</v>
      </c>
      <c r="E5" s="49" t="s">
        <v>317</v>
      </c>
      <c r="F5" s="49" t="s">
        <v>318</v>
      </c>
      <c r="G5" s="50" t="s">
        <v>319</v>
      </c>
      <c r="H5" s="48" t="s">
        <v>139</v>
      </c>
      <c r="I5" s="19"/>
      <c r="J5" s="336" t="s">
        <v>257</v>
      </c>
      <c r="K5" s="313" t="s">
        <v>258</v>
      </c>
      <c r="L5" s="49" t="s">
        <v>259</v>
      </c>
      <c r="M5" s="49" t="s">
        <v>260</v>
      </c>
      <c r="N5" s="50" t="s">
        <v>261</v>
      </c>
      <c r="O5" s="48" t="s">
        <v>139</v>
      </c>
      <c r="P5" s="19"/>
      <c r="Q5" s="313" t="s">
        <v>232</v>
      </c>
      <c r="R5" s="313" t="s">
        <v>236</v>
      </c>
      <c r="S5" s="49" t="s">
        <v>233</v>
      </c>
      <c r="T5" s="51" t="s">
        <v>234</v>
      </c>
      <c r="U5" s="52" t="s">
        <v>314</v>
      </c>
      <c r="V5" s="48" t="s">
        <v>139</v>
      </c>
      <c r="X5" s="76" t="s">
        <v>47</v>
      </c>
      <c r="Y5" s="313" t="s">
        <v>232</v>
      </c>
      <c r="Z5" s="313" t="s">
        <v>236</v>
      </c>
      <c r="AA5" s="49" t="s">
        <v>233</v>
      </c>
      <c r="AB5" s="336" t="s">
        <v>234</v>
      </c>
      <c r="AC5" s="338" t="s">
        <v>139</v>
      </c>
      <c r="AD5" s="77" t="s">
        <v>257</v>
      </c>
      <c r="AE5" s="336" t="s">
        <v>258</v>
      </c>
      <c r="AF5" s="49" t="s">
        <v>259</v>
      </c>
      <c r="AG5" s="336" t="s">
        <v>260</v>
      </c>
      <c r="AH5" s="48" t="s">
        <v>139</v>
      </c>
      <c r="AI5" s="77" t="s">
        <v>315</v>
      </c>
      <c r="AJ5" s="297" t="s">
        <v>316</v>
      </c>
      <c r="AK5" s="49" t="s">
        <v>317</v>
      </c>
      <c r="AL5" s="297" t="s">
        <v>318</v>
      </c>
      <c r="AM5" s="48" t="s">
        <v>139</v>
      </c>
      <c r="AN5" s="11"/>
      <c r="AO5" s="81"/>
      <c r="AP5" s="48">
        <v>2016</v>
      </c>
      <c r="AQ5" s="48">
        <v>2017</v>
      </c>
      <c r="AR5" s="48">
        <v>2018</v>
      </c>
    </row>
    <row r="6" spans="2:65" ht="53.25" customHeight="1" x14ac:dyDescent="0.25">
      <c r="B6" s="53" t="s">
        <v>50</v>
      </c>
      <c r="C6" s="54">
        <f>'Category Detail (2018)'!B14</f>
        <v>76000</v>
      </c>
      <c r="D6" s="54">
        <f>'Category Detail (2018)'!C14</f>
        <v>391000</v>
      </c>
      <c r="E6" s="55">
        <f>'Category Detail (2018)'!D14</f>
        <v>0</v>
      </c>
      <c r="F6" s="55">
        <f>'Category Detail (2018)'!E14</f>
        <v>467000</v>
      </c>
      <c r="G6" s="56">
        <f>'Category Detail (2018)'!F14</f>
        <v>20000</v>
      </c>
      <c r="H6" s="180">
        <f>F6/$F$15</f>
        <v>0.25467633745978074</v>
      </c>
      <c r="I6" s="186"/>
      <c r="J6" s="54">
        <v>48000</v>
      </c>
      <c r="K6" s="54">
        <v>345000</v>
      </c>
      <c r="L6" s="55">
        <v>0</v>
      </c>
      <c r="M6" s="55">
        <v>393000</v>
      </c>
      <c r="N6" s="56">
        <v>14000</v>
      </c>
      <c r="O6" s="57">
        <f>M6/$M$15</f>
        <v>0.21957760643647334</v>
      </c>
      <c r="P6" s="19"/>
      <c r="Q6" s="54">
        <v>127500</v>
      </c>
      <c r="R6" s="54">
        <v>325000</v>
      </c>
      <c r="S6" s="55">
        <v>0</v>
      </c>
      <c r="T6" s="55">
        <v>452500</v>
      </c>
      <c r="U6" s="56">
        <v>8400</v>
      </c>
      <c r="V6" s="57">
        <f>T6/$T$15</f>
        <v>0.27209861695730608</v>
      </c>
      <c r="X6" s="420" t="s">
        <v>145</v>
      </c>
      <c r="Y6" s="399">
        <f>SUM(Q6:Q8)</f>
        <v>245500</v>
      </c>
      <c r="Z6" s="399">
        <f>SUM(R6:R8)</f>
        <v>740000</v>
      </c>
      <c r="AA6" s="399">
        <f>SUM(S6:S8)</f>
        <v>0</v>
      </c>
      <c r="AB6" s="399">
        <f>SUM(T6:T8)</f>
        <v>985500</v>
      </c>
      <c r="AC6" s="423">
        <f>AB6/$AB$15</f>
        <v>0.59260372820204454</v>
      </c>
      <c r="AD6" s="402">
        <f>SUM(J6:J8)</f>
        <v>221000</v>
      </c>
      <c r="AE6" s="399">
        <f>SUM(K6:K8)</f>
        <v>937500</v>
      </c>
      <c r="AF6" s="399">
        <f>SUM(L6:L8)</f>
        <v>0</v>
      </c>
      <c r="AG6" s="399">
        <f>SUM(M6:M8)</f>
        <v>1158500</v>
      </c>
      <c r="AH6" s="423">
        <f>AG6/$AG$15</f>
        <v>0.64727902558945138</v>
      </c>
      <c r="AI6" s="396">
        <f>SUM(C6:C8)</f>
        <v>162500</v>
      </c>
      <c r="AJ6" s="399">
        <f>SUM(D6:D8)</f>
        <v>842000</v>
      </c>
      <c r="AK6" s="399">
        <f>SUM(E6:E8)</f>
        <v>0</v>
      </c>
      <c r="AL6" s="399">
        <f>SUM(F6:F8)</f>
        <v>1004500</v>
      </c>
      <c r="AM6" s="393">
        <f>AL6/$AL$15</f>
        <v>0.54779953100289036</v>
      </c>
      <c r="AN6" s="11"/>
      <c r="AO6" s="81" t="s">
        <v>148</v>
      </c>
      <c r="AP6" s="80">
        <f>Y15</f>
        <v>508000</v>
      </c>
      <c r="AQ6" s="80">
        <f>AD15</f>
        <v>480300</v>
      </c>
      <c r="AR6" s="80">
        <f>AI15</f>
        <v>488700</v>
      </c>
    </row>
    <row r="7" spans="2:65" ht="60" customHeight="1" x14ac:dyDescent="0.25">
      <c r="B7" s="53" t="s">
        <v>65</v>
      </c>
      <c r="C7" s="54">
        <f>'Category Detail (2018)'!B22</f>
        <v>58000</v>
      </c>
      <c r="D7" s="54">
        <f>'Category Detail (2018)'!C22</f>
        <v>286000</v>
      </c>
      <c r="E7" s="54">
        <f>'Category Detail (2018)'!D22</f>
        <v>0</v>
      </c>
      <c r="F7" s="55">
        <f>'Category Detail (2018)'!E22</f>
        <v>344000</v>
      </c>
      <c r="G7" s="56">
        <f>'Category Detail (2018)'!F22</f>
        <v>11000</v>
      </c>
      <c r="H7" s="180">
        <f>F7/$F$15</f>
        <v>0.18759884386759013</v>
      </c>
      <c r="I7" s="58"/>
      <c r="J7" s="54">
        <v>48000</v>
      </c>
      <c r="K7" s="54">
        <v>367500</v>
      </c>
      <c r="L7" s="54">
        <v>0</v>
      </c>
      <c r="M7" s="55">
        <v>415500</v>
      </c>
      <c r="N7" s="56">
        <v>12200</v>
      </c>
      <c r="O7" s="57">
        <f t="shared" ref="O7:O14" si="0">M7/$M$15</f>
        <v>0.2321488434461951</v>
      </c>
      <c r="P7" s="19"/>
      <c r="Q7" s="54">
        <v>88000</v>
      </c>
      <c r="R7" s="54">
        <v>240000</v>
      </c>
      <c r="S7" s="54">
        <v>0</v>
      </c>
      <c r="T7" s="55">
        <v>328000</v>
      </c>
      <c r="U7" s="56">
        <v>2700</v>
      </c>
      <c r="V7" s="57">
        <f t="shared" ref="V7:V14" si="1">T7/$T$15</f>
        <v>0.19723391461214673</v>
      </c>
      <c r="X7" s="421"/>
      <c r="Y7" s="400"/>
      <c r="Z7" s="400"/>
      <c r="AA7" s="400"/>
      <c r="AB7" s="400"/>
      <c r="AC7" s="424"/>
      <c r="AD7" s="403"/>
      <c r="AE7" s="400"/>
      <c r="AF7" s="400"/>
      <c r="AG7" s="400"/>
      <c r="AH7" s="424"/>
      <c r="AI7" s="397"/>
      <c r="AJ7" s="400"/>
      <c r="AK7" s="400"/>
      <c r="AL7" s="400"/>
      <c r="AM7" s="394"/>
      <c r="AN7" s="11"/>
      <c r="AO7" s="81" t="s">
        <v>235</v>
      </c>
      <c r="AP7" s="80">
        <f>Z15</f>
        <v>1020000</v>
      </c>
      <c r="AQ7" s="80">
        <f>AE15</f>
        <v>1162500</v>
      </c>
      <c r="AR7" s="80">
        <f>AJ15</f>
        <v>1192000</v>
      </c>
    </row>
    <row r="8" spans="2:65" ht="38.25" customHeight="1" x14ac:dyDescent="0.25">
      <c r="B8" s="53" t="s">
        <v>48</v>
      </c>
      <c r="C8" s="54">
        <f>'Category Detail (2018)'!B29</f>
        <v>28500</v>
      </c>
      <c r="D8" s="54">
        <f>'Category Detail (2018)'!C29</f>
        <v>165000</v>
      </c>
      <c r="E8" s="54">
        <f>'Category Detail (2018)'!D29</f>
        <v>0</v>
      </c>
      <c r="F8" s="55">
        <f>'Category Detail (2018)'!E29</f>
        <v>193500</v>
      </c>
      <c r="G8" s="56">
        <f>'Category Detail (2018)'!F29</f>
        <v>6000</v>
      </c>
      <c r="H8" s="180">
        <f t="shared" ref="H8:H14" si="2">F8/$F$15</f>
        <v>0.10552434967551944</v>
      </c>
      <c r="I8" s="58"/>
      <c r="J8" s="54">
        <v>125000</v>
      </c>
      <c r="K8" s="54">
        <v>225000</v>
      </c>
      <c r="L8" s="54">
        <v>0</v>
      </c>
      <c r="M8" s="55">
        <v>350000</v>
      </c>
      <c r="N8" s="56">
        <v>12000</v>
      </c>
      <c r="O8" s="57">
        <f t="shared" si="0"/>
        <v>0.19555257570678289</v>
      </c>
      <c r="P8" s="19"/>
      <c r="Q8" s="54">
        <v>30000</v>
      </c>
      <c r="R8" s="54">
        <v>175000</v>
      </c>
      <c r="S8" s="54">
        <v>0</v>
      </c>
      <c r="T8" s="55">
        <v>205000</v>
      </c>
      <c r="U8" s="56">
        <v>500</v>
      </c>
      <c r="V8" s="57">
        <f t="shared" si="1"/>
        <v>0.1232711966325917</v>
      </c>
      <c r="X8" s="422"/>
      <c r="Y8" s="401"/>
      <c r="Z8" s="401"/>
      <c r="AA8" s="401"/>
      <c r="AB8" s="401"/>
      <c r="AC8" s="425"/>
      <c r="AD8" s="404"/>
      <c r="AE8" s="401"/>
      <c r="AF8" s="401"/>
      <c r="AG8" s="401"/>
      <c r="AH8" s="425"/>
      <c r="AI8" s="398"/>
      <c r="AJ8" s="401"/>
      <c r="AK8" s="401"/>
      <c r="AL8" s="401"/>
      <c r="AM8" s="395"/>
      <c r="AN8" s="11"/>
      <c r="AO8" s="81" t="s">
        <v>150</v>
      </c>
      <c r="AP8" s="80">
        <f>AA15</f>
        <v>135000</v>
      </c>
      <c r="AQ8" s="80">
        <f>AF15</f>
        <v>147000</v>
      </c>
      <c r="AR8" s="80">
        <f>AK15</f>
        <v>153000</v>
      </c>
    </row>
    <row r="9" spans="2:65" ht="38.25" customHeight="1" x14ac:dyDescent="0.25">
      <c r="B9" s="60" t="s">
        <v>64</v>
      </c>
      <c r="C9" s="61">
        <f>'Category Detail (2018)'!B35</f>
        <v>0</v>
      </c>
      <c r="D9" s="61">
        <f>'Category Detail (2018)'!C35</f>
        <v>50000</v>
      </c>
      <c r="E9" s="61">
        <f>'Category Detail (2018)'!D35</f>
        <v>0</v>
      </c>
      <c r="F9" s="62">
        <f>'Category Detail (2018)'!E35</f>
        <v>50000</v>
      </c>
      <c r="G9" s="63">
        <f>'Category Detail (2018)'!F35</f>
        <v>15000</v>
      </c>
      <c r="H9" s="181">
        <f t="shared" si="2"/>
        <v>2.7267273817963681E-2</v>
      </c>
      <c r="I9" s="186"/>
      <c r="J9" s="61">
        <v>0</v>
      </c>
      <c r="K9" s="61">
        <v>20000</v>
      </c>
      <c r="L9" s="61">
        <v>0</v>
      </c>
      <c r="M9" s="62">
        <v>20000</v>
      </c>
      <c r="N9" s="63">
        <v>5000</v>
      </c>
      <c r="O9" s="64">
        <f t="shared" si="0"/>
        <v>1.1174432897530451E-2</v>
      </c>
      <c r="P9" s="19"/>
      <c r="Q9" s="61">
        <v>10000</v>
      </c>
      <c r="R9" s="61">
        <v>60000</v>
      </c>
      <c r="S9" s="61">
        <v>0</v>
      </c>
      <c r="T9" s="62">
        <v>70000</v>
      </c>
      <c r="U9" s="63">
        <v>7000</v>
      </c>
      <c r="V9" s="64">
        <f t="shared" si="1"/>
        <v>4.2092603728202047E-2</v>
      </c>
      <c r="X9" s="384" t="s">
        <v>146</v>
      </c>
      <c r="Y9" s="387">
        <f>SUM(Q9:Q11)</f>
        <v>25000</v>
      </c>
      <c r="Z9" s="387">
        <f>SUM(R9:R11)</f>
        <v>195000</v>
      </c>
      <c r="AA9" s="387">
        <f>SUM(S9:S11)</f>
        <v>0</v>
      </c>
      <c r="AB9" s="387">
        <f>SUM(T9:T11)</f>
        <v>220000</v>
      </c>
      <c r="AC9" s="390">
        <f>AB9/$AB$15</f>
        <v>0.132291040288635</v>
      </c>
      <c r="AD9" s="414">
        <f>SUM(J9:J11)</f>
        <v>20000</v>
      </c>
      <c r="AE9" s="387">
        <f>SUM(K9:K11)</f>
        <v>135000</v>
      </c>
      <c r="AF9" s="387">
        <f>SUM(L9:L11)</f>
        <v>0</v>
      </c>
      <c r="AG9" s="387">
        <f>SUM(M9:M11)</f>
        <v>155000</v>
      </c>
      <c r="AH9" s="390">
        <f>AG9/$AG$15</f>
        <v>8.6601854955860993E-2</v>
      </c>
      <c r="AI9" s="435">
        <f>SUM(C9:C11)</f>
        <v>70000</v>
      </c>
      <c r="AJ9" s="387">
        <f>SUM(D9:D11)</f>
        <v>265000</v>
      </c>
      <c r="AK9" s="387">
        <f>SUM(E9:E11)</f>
        <v>0</v>
      </c>
      <c r="AL9" s="387">
        <f>SUM(F9:F11)</f>
        <v>335000</v>
      </c>
      <c r="AM9" s="405">
        <f>AL9/$AL$15</f>
        <v>0.18269073458035665</v>
      </c>
      <c r="AN9" s="11"/>
      <c r="AO9" s="79" t="s">
        <v>19</v>
      </c>
      <c r="AP9" s="70">
        <f>SUM(AP6:AP8)</f>
        <v>1663000</v>
      </c>
      <c r="AQ9" s="70">
        <f>SUM(AQ6:AQ8)</f>
        <v>1789800</v>
      </c>
      <c r="AR9" s="70">
        <f>SUM(AR6:AR8)</f>
        <v>1833700</v>
      </c>
    </row>
    <row r="10" spans="2:65" ht="38.25" customHeight="1" x14ac:dyDescent="0.25">
      <c r="B10" s="60" t="s">
        <v>26</v>
      </c>
      <c r="C10" s="61">
        <f>'Category Detail (2018)'!B40</f>
        <v>0</v>
      </c>
      <c r="D10" s="61">
        <f>'Category Detail (2018)'!C40</f>
        <v>0</v>
      </c>
      <c r="E10" s="61">
        <f>'Category Detail (2018)'!D40</f>
        <v>0</v>
      </c>
      <c r="F10" s="62">
        <f>'Category Detail (2018)'!E40</f>
        <v>0</v>
      </c>
      <c r="G10" s="63">
        <f>'Category Detail (2018)'!F40</f>
        <v>0</v>
      </c>
      <c r="H10" s="181">
        <f t="shared" si="2"/>
        <v>0</v>
      </c>
      <c r="I10" s="58"/>
      <c r="J10" s="61">
        <v>0</v>
      </c>
      <c r="K10" s="61">
        <v>0</v>
      </c>
      <c r="L10" s="61">
        <v>0</v>
      </c>
      <c r="M10" s="62">
        <v>0</v>
      </c>
      <c r="N10" s="63">
        <v>0</v>
      </c>
      <c r="O10" s="64">
        <f t="shared" si="0"/>
        <v>0</v>
      </c>
      <c r="P10" s="19"/>
      <c r="Q10" s="61">
        <v>0</v>
      </c>
      <c r="R10" s="61">
        <v>0</v>
      </c>
      <c r="S10" s="61">
        <v>0</v>
      </c>
      <c r="T10" s="62">
        <v>0</v>
      </c>
      <c r="U10" s="63">
        <v>0</v>
      </c>
      <c r="V10" s="64">
        <f t="shared" si="1"/>
        <v>0</v>
      </c>
      <c r="X10" s="385"/>
      <c r="Y10" s="388"/>
      <c r="Z10" s="388"/>
      <c r="AA10" s="388"/>
      <c r="AB10" s="388"/>
      <c r="AC10" s="391"/>
      <c r="AD10" s="415"/>
      <c r="AE10" s="388"/>
      <c r="AF10" s="388"/>
      <c r="AG10" s="388"/>
      <c r="AH10" s="391"/>
      <c r="AI10" s="436"/>
      <c r="AJ10" s="388"/>
      <c r="AK10" s="388"/>
      <c r="AL10" s="388"/>
      <c r="AM10" s="406"/>
      <c r="AN10" s="11"/>
      <c r="AO10" s="11"/>
      <c r="AP10" s="11"/>
      <c r="AQ10" s="11"/>
      <c r="AR10" s="11"/>
    </row>
    <row r="11" spans="2:65" ht="38.25" customHeight="1" x14ac:dyDescent="0.25">
      <c r="B11" s="60" t="s">
        <v>245</v>
      </c>
      <c r="C11" s="61">
        <f>'Category Detail (2018)'!B49</f>
        <v>70000</v>
      </c>
      <c r="D11" s="61">
        <f>'Category Detail (2018)'!C49</f>
        <v>215000</v>
      </c>
      <c r="E11" s="61">
        <f>'Category Detail (2018)'!D49</f>
        <v>0</v>
      </c>
      <c r="F11" s="62">
        <f>'Category Detail (2018)'!E49</f>
        <v>285000</v>
      </c>
      <c r="G11" s="63">
        <f>'Category Detail (2018)'!F49</f>
        <v>21000</v>
      </c>
      <c r="H11" s="181">
        <f t="shared" si="2"/>
        <v>0.15542346076239297</v>
      </c>
      <c r="I11" s="58"/>
      <c r="J11" s="61">
        <v>20000</v>
      </c>
      <c r="K11" s="61">
        <v>115000</v>
      </c>
      <c r="L11" s="61">
        <v>0</v>
      </c>
      <c r="M11" s="62">
        <v>135000</v>
      </c>
      <c r="N11" s="63">
        <v>17000</v>
      </c>
      <c r="O11" s="64">
        <f t="shared" si="0"/>
        <v>7.5427422058330543E-2</v>
      </c>
      <c r="P11" s="19"/>
      <c r="Q11" s="61">
        <v>15000</v>
      </c>
      <c r="R11" s="61">
        <v>135000</v>
      </c>
      <c r="S11" s="61">
        <v>0</v>
      </c>
      <c r="T11" s="62">
        <v>150000</v>
      </c>
      <c r="U11" s="63">
        <v>9000</v>
      </c>
      <c r="V11" s="64">
        <f t="shared" si="1"/>
        <v>9.0198436560432957E-2</v>
      </c>
      <c r="X11" s="386"/>
      <c r="Y11" s="389"/>
      <c r="Z11" s="389"/>
      <c r="AA11" s="389"/>
      <c r="AB11" s="389"/>
      <c r="AC11" s="392"/>
      <c r="AD11" s="416"/>
      <c r="AE11" s="389"/>
      <c r="AF11" s="389"/>
      <c r="AG11" s="389"/>
      <c r="AH11" s="392"/>
      <c r="AI11" s="437"/>
      <c r="AJ11" s="389"/>
      <c r="AK11" s="389"/>
      <c r="AL11" s="389"/>
      <c r="AM11" s="407"/>
      <c r="AN11" s="11"/>
      <c r="AO11" s="11"/>
      <c r="AP11" s="11"/>
      <c r="AQ11" s="11"/>
      <c r="AR11" s="11"/>
    </row>
    <row r="12" spans="2:65" ht="38.25" customHeight="1" x14ac:dyDescent="0.25">
      <c r="B12" s="66" t="s">
        <v>46</v>
      </c>
      <c r="C12" s="177">
        <f>'Category Detail (2018)'!B55</f>
        <v>65000</v>
      </c>
      <c r="D12" s="177">
        <f>'Category Detail (2018)'!C55</f>
        <v>10000</v>
      </c>
      <c r="E12" s="177">
        <f>'Category Detail (2018)'!D55</f>
        <v>0</v>
      </c>
      <c r="F12" s="178">
        <f>'Category Detail (2018)'!E55</f>
        <v>75000</v>
      </c>
      <c r="G12" s="67">
        <f>'Category Detail (2018)'!F55</f>
        <v>45000</v>
      </c>
      <c r="H12" s="182">
        <f t="shared" si="2"/>
        <v>4.0900910726945523E-2</v>
      </c>
      <c r="I12" s="186"/>
      <c r="J12" s="177">
        <v>70000</v>
      </c>
      <c r="K12" s="177">
        <v>10000</v>
      </c>
      <c r="L12" s="177">
        <v>0</v>
      </c>
      <c r="M12" s="178">
        <v>80000</v>
      </c>
      <c r="N12" s="67">
        <v>35000</v>
      </c>
      <c r="O12" s="68">
        <f t="shared" si="0"/>
        <v>4.4697731590121803E-2</v>
      </c>
      <c r="P12" s="19"/>
      <c r="Q12" s="177">
        <v>60000</v>
      </c>
      <c r="R12" s="177">
        <v>20000</v>
      </c>
      <c r="S12" s="177">
        <v>0</v>
      </c>
      <c r="T12" s="178">
        <v>80000</v>
      </c>
      <c r="U12" s="67">
        <v>18000</v>
      </c>
      <c r="V12" s="68">
        <f t="shared" si="1"/>
        <v>4.810583283223091E-2</v>
      </c>
      <c r="X12" s="375" t="s">
        <v>147</v>
      </c>
      <c r="Y12" s="378">
        <f>SUM(Q12:Q14)</f>
        <v>237500</v>
      </c>
      <c r="Z12" s="378">
        <f>SUM(R12:R14)</f>
        <v>85000</v>
      </c>
      <c r="AA12" s="378">
        <f>SUM(S12:S14)</f>
        <v>135000</v>
      </c>
      <c r="AB12" s="378">
        <f>SUM(T12:T14)</f>
        <v>457500</v>
      </c>
      <c r="AC12" s="381">
        <f>AB12/$AB$15</f>
        <v>0.27510523150932048</v>
      </c>
      <c r="AD12" s="411">
        <f>SUM(J12:J14)</f>
        <v>239300</v>
      </c>
      <c r="AE12" s="378">
        <f>SUM(K12:K14)</f>
        <v>90000</v>
      </c>
      <c r="AF12" s="378">
        <f>SUM(L12:L14)</f>
        <v>147000</v>
      </c>
      <c r="AG12" s="378">
        <f>SUM(M12:M14)</f>
        <v>476300</v>
      </c>
      <c r="AH12" s="381">
        <f>AG12/$AG$15</f>
        <v>0.26611911945468769</v>
      </c>
      <c r="AI12" s="417">
        <f>SUM(C12:C14)</f>
        <v>256200</v>
      </c>
      <c r="AJ12" s="378">
        <f>SUM(D12:D14)</f>
        <v>85000</v>
      </c>
      <c r="AK12" s="378">
        <f>SUM(E12:E14)</f>
        <v>153000</v>
      </c>
      <c r="AL12" s="378">
        <f>SUM(F12:F14)</f>
        <v>494200</v>
      </c>
      <c r="AM12" s="408">
        <f>AL12/$AL$15</f>
        <v>0.26950973441675302</v>
      </c>
      <c r="AN12" s="11"/>
      <c r="AO12" s="11"/>
      <c r="AP12" s="11"/>
      <c r="AQ12" s="11"/>
      <c r="AR12" s="11"/>
    </row>
    <row r="13" spans="2:65" ht="38.25" customHeight="1" x14ac:dyDescent="0.25">
      <c r="B13" s="66" t="s">
        <v>18</v>
      </c>
      <c r="C13" s="177">
        <f>'Category Detail (2018)'!B61</f>
        <v>186900</v>
      </c>
      <c r="D13" s="177">
        <f>'Category Detail (2018)'!C61</f>
        <v>75000</v>
      </c>
      <c r="E13" s="177">
        <f>'Category Detail (2018)'!D61</f>
        <v>0</v>
      </c>
      <c r="F13" s="178">
        <f>'Category Detail (2018)'!E61</f>
        <v>261900</v>
      </c>
      <c r="G13" s="67">
        <f>'Category Detail (2018)'!F61</f>
        <v>10000</v>
      </c>
      <c r="H13" s="182">
        <f t="shared" si="2"/>
        <v>0.14282598025849375</v>
      </c>
      <c r="I13" s="58"/>
      <c r="J13" s="177">
        <v>165000</v>
      </c>
      <c r="K13" s="177">
        <v>75000</v>
      </c>
      <c r="L13" s="177">
        <v>0</v>
      </c>
      <c r="M13" s="178">
        <v>240000</v>
      </c>
      <c r="N13" s="67">
        <v>10000</v>
      </c>
      <c r="O13" s="68">
        <f t="shared" si="0"/>
        <v>0.13409319477036541</v>
      </c>
      <c r="P13" s="19"/>
      <c r="Q13" s="177">
        <v>169200</v>
      </c>
      <c r="R13" s="177">
        <v>65000</v>
      </c>
      <c r="S13" s="177">
        <v>0</v>
      </c>
      <c r="T13" s="178">
        <v>234200</v>
      </c>
      <c r="U13" s="67">
        <v>25000</v>
      </c>
      <c r="V13" s="68">
        <f t="shared" si="1"/>
        <v>0.14082982561635599</v>
      </c>
      <c r="X13" s="376"/>
      <c r="Y13" s="379"/>
      <c r="Z13" s="379"/>
      <c r="AA13" s="379"/>
      <c r="AB13" s="379"/>
      <c r="AC13" s="382"/>
      <c r="AD13" s="412"/>
      <c r="AE13" s="379"/>
      <c r="AF13" s="379"/>
      <c r="AG13" s="379"/>
      <c r="AH13" s="382"/>
      <c r="AI13" s="418"/>
      <c r="AJ13" s="379"/>
      <c r="AK13" s="379"/>
      <c r="AL13" s="379"/>
      <c r="AM13" s="409"/>
      <c r="AN13" s="11"/>
      <c r="AO13" s="11"/>
      <c r="AP13" s="11"/>
      <c r="AQ13" s="11"/>
      <c r="AR13" s="11"/>
    </row>
    <row r="14" spans="2:65" ht="38.25" customHeight="1" x14ac:dyDescent="0.25">
      <c r="B14" s="66" t="s">
        <v>49</v>
      </c>
      <c r="C14" s="177">
        <f>'Category Detail (2018)'!B72</f>
        <v>4300</v>
      </c>
      <c r="D14" s="177">
        <f>'Category Detail (2018)'!C72</f>
        <v>0</v>
      </c>
      <c r="E14" s="177">
        <f>'Category Detail (2018)'!D72</f>
        <v>153000</v>
      </c>
      <c r="F14" s="178">
        <f>'Category Detail (2018)'!E72</f>
        <v>157300</v>
      </c>
      <c r="G14" s="67">
        <f>'Category Detail (2018)'!F72</f>
        <v>66500</v>
      </c>
      <c r="H14" s="182">
        <f t="shared" si="2"/>
        <v>8.5782843431313732E-2</v>
      </c>
      <c r="I14" s="58"/>
      <c r="J14" s="177">
        <v>4300</v>
      </c>
      <c r="K14" s="177">
        <v>5000</v>
      </c>
      <c r="L14" s="177">
        <v>147000</v>
      </c>
      <c r="M14" s="178">
        <v>156300</v>
      </c>
      <c r="N14" s="67">
        <v>99000</v>
      </c>
      <c r="O14" s="68">
        <f t="shared" si="0"/>
        <v>8.7328193094200465E-2</v>
      </c>
      <c r="P14" s="19"/>
      <c r="Q14" s="177">
        <v>8300</v>
      </c>
      <c r="R14" s="177">
        <v>0</v>
      </c>
      <c r="S14" s="177">
        <v>135000</v>
      </c>
      <c r="T14" s="178">
        <v>143300</v>
      </c>
      <c r="U14" s="67">
        <v>77500</v>
      </c>
      <c r="V14" s="68">
        <f t="shared" si="1"/>
        <v>8.6169573060733612E-2</v>
      </c>
      <c r="X14" s="377"/>
      <c r="Y14" s="380"/>
      <c r="Z14" s="380"/>
      <c r="AA14" s="380"/>
      <c r="AB14" s="380"/>
      <c r="AC14" s="383"/>
      <c r="AD14" s="413"/>
      <c r="AE14" s="380"/>
      <c r="AF14" s="380"/>
      <c r="AG14" s="380"/>
      <c r="AH14" s="383"/>
      <c r="AI14" s="419"/>
      <c r="AJ14" s="380"/>
      <c r="AK14" s="380"/>
      <c r="AL14" s="380"/>
      <c r="AM14" s="410"/>
      <c r="AN14" s="11"/>
      <c r="AO14" s="11"/>
      <c r="AP14" s="11"/>
      <c r="AQ14" s="11"/>
      <c r="AR14" s="11"/>
    </row>
    <row r="15" spans="2:65" ht="38.25" customHeight="1" x14ac:dyDescent="0.25">
      <c r="B15" s="69" t="s">
        <v>19</v>
      </c>
      <c r="C15" s="70">
        <f>SUM(C6:C14)</f>
        <v>488700</v>
      </c>
      <c r="D15" s="70">
        <f t="shared" ref="D15:G15" si="3">SUM(D6:D14)</f>
        <v>1192000</v>
      </c>
      <c r="E15" s="70">
        <f t="shared" si="3"/>
        <v>153000</v>
      </c>
      <c r="F15" s="71">
        <f t="shared" si="3"/>
        <v>1833700</v>
      </c>
      <c r="G15" s="72">
        <f t="shared" si="3"/>
        <v>194500</v>
      </c>
      <c r="H15" s="73">
        <f>SUM(H6:H14)</f>
        <v>1</v>
      </c>
      <c r="I15" s="58"/>
      <c r="J15" s="70">
        <f t="shared" ref="J15:O15" si="4">SUM(J6:J14)</f>
        <v>480300</v>
      </c>
      <c r="K15" s="70">
        <f t="shared" si="4"/>
        <v>1162500</v>
      </c>
      <c r="L15" s="70">
        <f t="shared" si="4"/>
        <v>147000</v>
      </c>
      <c r="M15" s="74">
        <f t="shared" si="4"/>
        <v>1789800</v>
      </c>
      <c r="N15" s="75">
        <f t="shared" si="4"/>
        <v>204200</v>
      </c>
      <c r="O15" s="73">
        <f t="shared" si="4"/>
        <v>0.99999999999999989</v>
      </c>
      <c r="P15" s="19"/>
      <c r="Q15" s="70">
        <f t="shared" ref="Q15:V15" si="5">SUM(Q6:Q14)</f>
        <v>508000</v>
      </c>
      <c r="R15" s="70">
        <f t="shared" si="5"/>
        <v>1020000</v>
      </c>
      <c r="S15" s="70">
        <f t="shared" si="5"/>
        <v>135000</v>
      </c>
      <c r="T15" s="74">
        <f t="shared" si="5"/>
        <v>1663000</v>
      </c>
      <c r="U15" s="75">
        <f t="shared" si="5"/>
        <v>148100</v>
      </c>
      <c r="V15" s="73">
        <f t="shared" si="5"/>
        <v>0.99999999999999989</v>
      </c>
      <c r="X15" s="79" t="s">
        <v>19</v>
      </c>
      <c r="Y15" s="70">
        <f>SUM(Y6:Y14)</f>
        <v>508000</v>
      </c>
      <c r="Z15" s="70">
        <f t="shared" ref="Z15:AB15" si="6">SUM(Z6:Z14)</f>
        <v>1020000</v>
      </c>
      <c r="AA15" s="70">
        <f t="shared" si="6"/>
        <v>135000</v>
      </c>
      <c r="AB15" s="71">
        <f t="shared" si="6"/>
        <v>1663000</v>
      </c>
      <c r="AC15" s="184">
        <f>SUM(AC6:AC14)</f>
        <v>1</v>
      </c>
      <c r="AD15" s="75">
        <f t="shared" ref="AD15:AG15" si="7">SUM(AD6:AD14)</f>
        <v>480300</v>
      </c>
      <c r="AE15" s="70">
        <f t="shared" si="7"/>
        <v>1162500</v>
      </c>
      <c r="AF15" s="70">
        <f t="shared" si="7"/>
        <v>147000</v>
      </c>
      <c r="AG15" s="70">
        <f t="shared" si="7"/>
        <v>1789800</v>
      </c>
      <c r="AH15" s="73">
        <f>SUM(AH6:AH14)</f>
        <v>1</v>
      </c>
      <c r="AI15" s="174">
        <f t="shared" ref="AI15:AL15" si="8">SUM(AI6:AI14)</f>
        <v>488700</v>
      </c>
      <c r="AJ15" s="70">
        <f t="shared" si="8"/>
        <v>1192000</v>
      </c>
      <c r="AK15" s="70">
        <f t="shared" si="8"/>
        <v>153000</v>
      </c>
      <c r="AL15" s="70">
        <f t="shared" si="8"/>
        <v>1833700</v>
      </c>
      <c r="AM15" s="73">
        <f>SUM(AM6:AM14)</f>
        <v>1</v>
      </c>
      <c r="AN15" s="11"/>
      <c r="AO15" s="11"/>
      <c r="AP15" s="11"/>
      <c r="AQ15" s="11"/>
      <c r="AR15" s="11"/>
    </row>
    <row r="16" spans="2:65" x14ac:dyDescent="0.25">
      <c r="F16" s="185"/>
      <c r="J16" s="185"/>
      <c r="K16" s="185"/>
      <c r="L16" s="8"/>
      <c r="R16" s="8"/>
      <c r="S16" s="8"/>
      <c r="AO16" s="11"/>
      <c r="AP16" s="11"/>
      <c r="AQ16" s="11"/>
      <c r="AR16" s="11"/>
      <c r="BM16" s="183"/>
    </row>
    <row r="20" spans="16:16" x14ac:dyDescent="0.25">
      <c r="P20" s="185"/>
    </row>
    <row r="122" spans="15:19" x14ac:dyDescent="0.25">
      <c r="P122">
        <v>2016</v>
      </c>
      <c r="Q122">
        <v>2017</v>
      </c>
      <c r="R122">
        <v>2018</v>
      </c>
    </row>
    <row r="123" spans="15:19" x14ac:dyDescent="0.25">
      <c r="O123" s="205" t="s">
        <v>148</v>
      </c>
      <c r="P123" s="185">
        <f>Q15</f>
        <v>508000</v>
      </c>
      <c r="Q123" s="185">
        <f>J15</f>
        <v>480300</v>
      </c>
      <c r="R123" s="185">
        <f>C15</f>
        <v>488700</v>
      </c>
      <c r="S123" s="185"/>
    </row>
    <row r="124" spans="15:19" x14ac:dyDescent="0.25">
      <c r="P124">
        <v>2016</v>
      </c>
      <c r="Q124">
        <v>2017</v>
      </c>
      <c r="R124">
        <v>2018</v>
      </c>
    </row>
    <row r="125" spans="15:19" x14ac:dyDescent="0.25">
      <c r="O125" s="205" t="s">
        <v>226</v>
      </c>
      <c r="P125" s="185">
        <f>R15</f>
        <v>1020000</v>
      </c>
      <c r="Q125" s="185">
        <f>L15+K15</f>
        <v>1309500</v>
      </c>
      <c r="R125" s="185">
        <f>D15+E15</f>
        <v>1345000</v>
      </c>
      <c r="S125" s="185"/>
    </row>
  </sheetData>
  <mergeCells count="56">
    <mergeCell ref="AI4:AL4"/>
    <mergeCell ref="AD4:AH4"/>
    <mergeCell ref="Y4:AC4"/>
    <mergeCell ref="AK6:AK8"/>
    <mergeCell ref="AK9:AK11"/>
    <mergeCell ref="AE6:AE8"/>
    <mergeCell ref="AG6:AG8"/>
    <mergeCell ref="AH6:AH8"/>
    <mergeCell ref="AI9:AI11"/>
    <mergeCell ref="AF9:AF11"/>
    <mergeCell ref="AG9:AG11"/>
    <mergeCell ref="AH9:AH11"/>
    <mergeCell ref="AA9:AA11"/>
    <mergeCell ref="AE9:AE11"/>
    <mergeCell ref="C4:G4"/>
    <mergeCell ref="J4:N4"/>
    <mergeCell ref="J3:N3"/>
    <mergeCell ref="Q4:U4"/>
    <mergeCell ref="Q3:U3"/>
    <mergeCell ref="X6:X8"/>
    <mergeCell ref="Y6:Y8"/>
    <mergeCell ref="Z6:Z8"/>
    <mergeCell ref="AB6:AB8"/>
    <mergeCell ref="AC6:AC8"/>
    <mergeCell ref="AA6:AA8"/>
    <mergeCell ref="AM9:AM11"/>
    <mergeCell ref="AM12:AM14"/>
    <mergeCell ref="AJ9:AJ11"/>
    <mergeCell ref="AD12:AD14"/>
    <mergeCell ref="AE12:AE14"/>
    <mergeCell ref="AG12:AG14"/>
    <mergeCell ref="AH12:AH14"/>
    <mergeCell ref="AF12:AF14"/>
    <mergeCell ref="AD9:AD11"/>
    <mergeCell ref="AL12:AL14"/>
    <mergeCell ref="AL9:AL11"/>
    <mergeCell ref="AI12:AI14"/>
    <mergeCell ref="AJ12:AJ14"/>
    <mergeCell ref="AK12:AK14"/>
    <mergeCell ref="AM6:AM8"/>
    <mergeCell ref="AI6:AI8"/>
    <mergeCell ref="AJ6:AJ8"/>
    <mergeCell ref="AL6:AL8"/>
    <mergeCell ref="AD6:AD8"/>
    <mergeCell ref="AF6:AF8"/>
    <mergeCell ref="X9:X11"/>
    <mergeCell ref="Y9:Y11"/>
    <mergeCell ref="Z9:Z11"/>
    <mergeCell ref="AB9:AB11"/>
    <mergeCell ref="AC9:AC11"/>
    <mergeCell ref="X12:X14"/>
    <mergeCell ref="Y12:Y14"/>
    <mergeCell ref="Z12:Z14"/>
    <mergeCell ref="AB12:AB14"/>
    <mergeCell ref="AC12:AC14"/>
    <mergeCell ref="AA12:AA14"/>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opLeftCell="A7" zoomScale="80" zoomScaleNormal="80" workbookViewId="0">
      <pane ySplit="2" topLeftCell="A9" activePane="bottomLeft" state="frozen"/>
      <selection activeCell="A7" sqref="A7"/>
      <selection pane="bottomLeft" activeCell="A7" sqref="A7"/>
    </sheetView>
  </sheetViews>
  <sheetFormatPr defaultColWidth="8.85546875" defaultRowHeight="15.75" x14ac:dyDescent="0.25"/>
  <cols>
    <col min="1" max="1" width="79.85546875" style="19" bestFit="1" customWidth="1"/>
    <col min="2" max="2" width="15.28515625" style="19" bestFit="1" customWidth="1"/>
    <col min="3" max="3" width="13.42578125" style="19" bestFit="1" customWidth="1"/>
    <col min="4" max="4" width="13.42578125" style="19" customWidth="1"/>
    <col min="5" max="5" width="15.28515625" style="19" bestFit="1" customWidth="1"/>
    <col min="6" max="6" width="15.42578125" style="19" bestFit="1" customWidth="1"/>
    <col min="7" max="7" width="13.140625" style="19" bestFit="1" customWidth="1"/>
    <col min="8" max="8" width="8" style="19" bestFit="1" customWidth="1"/>
    <col min="9" max="10" width="10.7109375" style="19" bestFit="1" customWidth="1"/>
    <col min="11" max="11" width="10.7109375" style="19" customWidth="1"/>
    <col min="12" max="12" width="10.28515625" style="19" customWidth="1"/>
    <col min="13" max="13" width="180.28515625" style="19" bestFit="1" customWidth="1"/>
    <col min="14" max="14" width="8.85546875" style="30"/>
    <col min="15" max="16384" width="8.85546875" style="19"/>
  </cols>
  <sheetData>
    <row r="1" spans="1:14" x14ac:dyDescent="0.25">
      <c r="A1" s="19" t="s">
        <v>206</v>
      </c>
    </row>
    <row r="2" spans="1:14" x14ac:dyDescent="0.25">
      <c r="A2" s="31" t="str">
        <f>'Table of Contents'!B2</f>
        <v>Approved 2018 RTF Work Plan (October 10, 2017)</v>
      </c>
    </row>
    <row r="3" spans="1:14" x14ac:dyDescent="0.25">
      <c r="A3" s="32"/>
    </row>
    <row r="4" spans="1:14" x14ac:dyDescent="0.25">
      <c r="A4" s="19" t="s">
        <v>88</v>
      </c>
    </row>
    <row r="5" spans="1:14" x14ac:dyDescent="0.25">
      <c r="A5" s="19" t="s">
        <v>89</v>
      </c>
    </row>
    <row r="7" spans="1:14" ht="29.25" customHeight="1" x14ac:dyDescent="0.25">
      <c r="C7" s="46"/>
      <c r="D7" s="46"/>
      <c r="E7" s="12">
        <f>E75</f>
        <v>1833700</v>
      </c>
      <c r="F7" s="85">
        <f>'Funding Shares'!F20</f>
        <v>1833700</v>
      </c>
      <c r="G7" s="85">
        <f>F7-E7</f>
        <v>0</v>
      </c>
      <c r="H7" s="438" t="s">
        <v>87</v>
      </c>
      <c r="I7" s="439"/>
      <c r="J7" s="439"/>
      <c r="K7" s="439"/>
      <c r="L7" s="440"/>
    </row>
    <row r="8" spans="1:14" s="37" customFormat="1" ht="63" x14ac:dyDescent="0.25">
      <c r="A8" s="33" t="s">
        <v>134</v>
      </c>
      <c r="B8" s="34" t="s">
        <v>148</v>
      </c>
      <c r="C8" s="262" t="s">
        <v>207</v>
      </c>
      <c r="D8" s="262" t="s">
        <v>150</v>
      </c>
      <c r="E8" s="34" t="s">
        <v>129</v>
      </c>
      <c r="F8" s="34" t="s">
        <v>128</v>
      </c>
      <c r="G8" s="34" t="s">
        <v>141</v>
      </c>
      <c r="H8" s="86" t="s">
        <v>68</v>
      </c>
      <c r="I8" s="86" t="s">
        <v>69</v>
      </c>
      <c r="J8" s="86" t="s">
        <v>209</v>
      </c>
      <c r="K8" s="86" t="s">
        <v>208</v>
      </c>
      <c r="L8" s="86" t="s">
        <v>25</v>
      </c>
      <c r="M8" s="13" t="s">
        <v>93</v>
      </c>
      <c r="N8" s="36"/>
    </row>
    <row r="9" spans="1:14" s="326" customFormat="1" x14ac:dyDescent="0.25">
      <c r="A9" s="14" t="s">
        <v>50</v>
      </c>
      <c r="B9" s="15"/>
      <c r="C9" s="15"/>
      <c r="D9" s="15"/>
      <c r="E9" s="15"/>
      <c r="F9" s="15"/>
      <c r="G9" s="18"/>
      <c r="H9" s="18"/>
      <c r="I9" s="329"/>
      <c r="J9" s="18"/>
      <c r="K9" s="18"/>
      <c r="L9" s="18"/>
      <c r="M9" s="18"/>
      <c r="N9" s="327"/>
    </row>
    <row r="10" spans="1:14" s="326" customFormat="1" x14ac:dyDescent="0.25">
      <c r="A10" s="16" t="s">
        <v>292</v>
      </c>
      <c r="B10" s="38">
        <f>H10*I10</f>
        <v>5750</v>
      </c>
      <c r="C10" s="38">
        <f t="shared" ref="C10:C13" si="0">H10*J10</f>
        <v>276000</v>
      </c>
      <c r="D10" s="38">
        <f>H10*K10</f>
        <v>0</v>
      </c>
      <c r="E10" s="38">
        <f>SUM(B10:D10)</f>
        <v>281750</v>
      </c>
      <c r="F10" s="38">
        <f>H10*L10</f>
        <v>11500</v>
      </c>
      <c r="G10" s="187"/>
      <c r="H10" s="188">
        <v>23</v>
      </c>
      <c r="I10" s="329">
        <v>250</v>
      </c>
      <c r="J10" s="330">
        <v>12000</v>
      </c>
      <c r="K10" s="330"/>
      <c r="L10" s="330">
        <v>500</v>
      </c>
      <c r="M10" s="17" t="s">
        <v>328</v>
      </c>
      <c r="N10" s="327"/>
    </row>
    <row r="11" spans="1:14" s="326" customFormat="1" x14ac:dyDescent="0.25">
      <c r="A11" s="16" t="s">
        <v>293</v>
      </c>
      <c r="B11" s="38">
        <f>H11*I11</f>
        <v>250</v>
      </c>
      <c r="C11" s="38">
        <f t="shared" ref="C11" si="1">H11*J11</f>
        <v>30000</v>
      </c>
      <c r="D11" s="38">
        <f>H11*K11</f>
        <v>0</v>
      </c>
      <c r="E11" s="38">
        <f>SUM(B11:D11)</f>
        <v>30250</v>
      </c>
      <c r="F11" s="38">
        <f>H11*L11</f>
        <v>500</v>
      </c>
      <c r="G11" s="187"/>
      <c r="H11" s="188">
        <v>1</v>
      </c>
      <c r="I11" s="329">
        <v>250</v>
      </c>
      <c r="J11" s="330">
        <v>30000</v>
      </c>
      <c r="K11" s="330"/>
      <c r="L11" s="330">
        <v>500</v>
      </c>
      <c r="M11" s="17" t="s">
        <v>294</v>
      </c>
      <c r="N11" s="327"/>
    </row>
    <row r="12" spans="1:14" s="326" customFormat="1" x14ac:dyDescent="0.25">
      <c r="A12" s="17" t="s">
        <v>262</v>
      </c>
      <c r="B12" s="38">
        <v>0</v>
      </c>
      <c r="C12" s="38">
        <v>65000</v>
      </c>
      <c r="D12" s="38">
        <v>0</v>
      </c>
      <c r="E12" s="38">
        <f t="shared" ref="E12:E13" si="2">SUM(B12:D12)</f>
        <v>65000</v>
      </c>
      <c r="F12" s="38">
        <v>1000</v>
      </c>
      <c r="G12" s="187"/>
      <c r="H12" s="331" t="s">
        <v>253</v>
      </c>
      <c r="I12" s="329"/>
      <c r="J12" s="330"/>
      <c r="K12" s="330"/>
      <c r="L12" s="330"/>
      <c r="M12" s="17" t="s">
        <v>295</v>
      </c>
      <c r="N12" s="328"/>
    </row>
    <row r="13" spans="1:14" s="326" customFormat="1" x14ac:dyDescent="0.25">
      <c r="A13" s="17" t="s">
        <v>241</v>
      </c>
      <c r="B13" s="38">
        <f t="shared" ref="B13" si="3">H13*I13</f>
        <v>70000</v>
      </c>
      <c r="C13" s="38">
        <f t="shared" si="0"/>
        <v>20000</v>
      </c>
      <c r="D13" s="38">
        <f t="shared" ref="D13" si="4">H13*K13</f>
        <v>0</v>
      </c>
      <c r="E13" s="38">
        <f t="shared" si="2"/>
        <v>90000</v>
      </c>
      <c r="F13" s="38">
        <f t="shared" ref="F13" si="5">H13*L13</f>
        <v>7000</v>
      </c>
      <c r="G13" s="187"/>
      <c r="H13" s="188">
        <v>20</v>
      </c>
      <c r="I13" s="329">
        <v>3500</v>
      </c>
      <c r="J13" s="330">
        <v>1000</v>
      </c>
      <c r="K13" s="330"/>
      <c r="L13" s="330">
        <v>350</v>
      </c>
      <c r="M13" s="17" t="s">
        <v>296</v>
      </c>
      <c r="N13" s="328"/>
    </row>
    <row r="14" spans="1:14" s="326" customFormat="1" x14ac:dyDescent="0.25">
      <c r="A14" s="14" t="str">
        <f>CONCATENATE("Subtotal ",A9)</f>
        <v>Subtotal Existing Measure Review &amp; Updates</v>
      </c>
      <c r="B14" s="189">
        <f>SUM(B10:B13)</f>
        <v>76000</v>
      </c>
      <c r="C14" s="189">
        <f>SUM(C10:C13)</f>
        <v>391000</v>
      </c>
      <c r="D14" s="189">
        <f>SUM(D10:D13)</f>
        <v>0</v>
      </c>
      <c r="E14" s="189">
        <f>SUM(E10:E13)</f>
        <v>467000</v>
      </c>
      <c r="F14" s="189">
        <f>SUM(F10:F13)</f>
        <v>20000</v>
      </c>
      <c r="G14" s="190">
        <f>E14/$E$75</f>
        <v>0.25467633745978074</v>
      </c>
      <c r="H14" s="188"/>
      <c r="I14" s="329"/>
      <c r="J14" s="332"/>
      <c r="K14" s="332"/>
      <c r="L14" s="330"/>
      <c r="M14" s="18"/>
      <c r="N14" s="327"/>
    </row>
    <row r="15" spans="1:14" s="326" customFormat="1" x14ac:dyDescent="0.25">
      <c r="A15" s="18"/>
      <c r="B15" s="38"/>
      <c r="C15" s="38"/>
      <c r="D15" s="38"/>
      <c r="E15" s="38"/>
      <c r="F15" s="191"/>
      <c r="G15" s="188"/>
      <c r="H15" s="188"/>
      <c r="I15" s="188"/>
      <c r="J15" s="333"/>
      <c r="K15" s="333"/>
      <c r="L15" s="330"/>
      <c r="M15" s="18"/>
      <c r="N15" s="327"/>
    </row>
    <row r="16" spans="1:14" s="326" customFormat="1" x14ac:dyDescent="0.25">
      <c r="A16" s="18"/>
      <c r="B16" s="38"/>
      <c r="C16" s="38"/>
      <c r="D16" s="38"/>
      <c r="E16" s="38"/>
      <c r="F16" s="191"/>
      <c r="G16" s="188"/>
      <c r="H16" s="188"/>
      <c r="I16" s="188" t="s">
        <v>138</v>
      </c>
      <c r="J16" s="330"/>
      <c r="K16" s="330"/>
      <c r="L16" s="330"/>
      <c r="M16" s="18"/>
      <c r="N16" s="327"/>
    </row>
    <row r="17" spans="1:14" s="326" customFormat="1" x14ac:dyDescent="0.25">
      <c r="A17" s="14" t="s">
        <v>65</v>
      </c>
      <c r="B17" s="38"/>
      <c r="C17" s="38"/>
      <c r="D17" s="38"/>
      <c r="E17" s="38"/>
      <c r="F17" s="191"/>
      <c r="G17" s="188"/>
      <c r="H17" s="188"/>
      <c r="I17" s="329"/>
      <c r="J17" s="330"/>
      <c r="K17" s="330"/>
      <c r="L17" s="330"/>
      <c r="M17" s="18"/>
      <c r="N17" s="327"/>
    </row>
    <row r="18" spans="1:14" s="326" customFormat="1" x14ac:dyDescent="0.25">
      <c r="A18" s="17" t="s">
        <v>133</v>
      </c>
      <c r="B18" s="38">
        <v>20000</v>
      </c>
      <c r="C18" s="38">
        <v>20000</v>
      </c>
      <c r="D18" s="38">
        <v>0</v>
      </c>
      <c r="E18" s="38">
        <f>SUM(B18:D18)</f>
        <v>40000</v>
      </c>
      <c r="F18" s="38">
        <v>1500</v>
      </c>
      <c r="G18" s="187"/>
      <c r="H18" s="331" t="s">
        <v>253</v>
      </c>
      <c r="I18" s="329"/>
      <c r="J18" s="330"/>
      <c r="K18" s="330"/>
      <c r="L18" s="330"/>
      <c r="M18" s="17" t="s">
        <v>277</v>
      </c>
      <c r="N18" s="323"/>
    </row>
    <row r="19" spans="1:14" s="326" customFormat="1" x14ac:dyDescent="0.25">
      <c r="A19" s="17" t="s">
        <v>156</v>
      </c>
      <c r="B19" s="38">
        <f t="shared" ref="B19" si="6">H19*I19</f>
        <v>2000</v>
      </c>
      <c r="C19" s="38">
        <f t="shared" ref="C19" si="7">H19*J19</f>
        <v>96000</v>
      </c>
      <c r="D19" s="38">
        <f>H19*K19</f>
        <v>0</v>
      </c>
      <c r="E19" s="38">
        <f t="shared" ref="E19:E21" si="8">SUM(B19:D19)</f>
        <v>98000</v>
      </c>
      <c r="F19" s="38">
        <f t="shared" ref="F19" si="9">H19*L19</f>
        <v>4000</v>
      </c>
      <c r="G19" s="187"/>
      <c r="H19" s="188">
        <v>8</v>
      </c>
      <c r="I19" s="329">
        <v>250</v>
      </c>
      <c r="J19" s="330">
        <v>12000</v>
      </c>
      <c r="K19" s="330"/>
      <c r="L19" s="330">
        <v>500</v>
      </c>
      <c r="M19" s="17" t="s">
        <v>303</v>
      </c>
      <c r="N19" s="327"/>
    </row>
    <row r="20" spans="1:14" s="326" customFormat="1" x14ac:dyDescent="0.25">
      <c r="A20" s="17" t="s">
        <v>263</v>
      </c>
      <c r="B20" s="38">
        <f t="shared" ref="B20:B21" si="10">H20*I20</f>
        <v>1000</v>
      </c>
      <c r="C20" s="38">
        <f t="shared" ref="C20:C21" si="11">H20*J20</f>
        <v>160000</v>
      </c>
      <c r="D20" s="38">
        <f>H20*K20</f>
        <v>0</v>
      </c>
      <c r="E20" s="38">
        <f t="shared" si="8"/>
        <v>161000</v>
      </c>
      <c r="F20" s="38">
        <f t="shared" ref="F20:F21" si="12">H20*L20</f>
        <v>2000</v>
      </c>
      <c r="G20" s="187"/>
      <c r="H20" s="188">
        <v>4</v>
      </c>
      <c r="I20" s="329">
        <v>250</v>
      </c>
      <c r="J20" s="330">
        <v>40000</v>
      </c>
      <c r="K20" s="330"/>
      <c r="L20" s="330">
        <v>500</v>
      </c>
      <c r="M20" s="17" t="s">
        <v>297</v>
      </c>
      <c r="N20" s="327"/>
    </row>
    <row r="21" spans="1:14" s="326" customFormat="1" x14ac:dyDescent="0.25">
      <c r="A21" s="17" t="s">
        <v>242</v>
      </c>
      <c r="B21" s="38">
        <f t="shared" si="10"/>
        <v>35000</v>
      </c>
      <c r="C21" s="38">
        <f t="shared" si="11"/>
        <v>10000</v>
      </c>
      <c r="D21" s="38">
        <f>H21*K21</f>
        <v>0</v>
      </c>
      <c r="E21" s="38">
        <f t="shared" si="8"/>
        <v>45000</v>
      </c>
      <c r="F21" s="38">
        <f t="shared" si="12"/>
        <v>3500</v>
      </c>
      <c r="G21" s="187"/>
      <c r="H21" s="188">
        <v>10</v>
      </c>
      <c r="I21" s="329">
        <v>3500</v>
      </c>
      <c r="J21" s="330">
        <v>1000</v>
      </c>
      <c r="K21" s="330"/>
      <c r="L21" s="330">
        <v>350</v>
      </c>
      <c r="M21" s="17" t="s">
        <v>298</v>
      </c>
      <c r="N21" s="327"/>
    </row>
    <row r="22" spans="1:14" s="326" customFormat="1" x14ac:dyDescent="0.25">
      <c r="A22" s="14" t="str">
        <f>CONCATENATE("Subtotal ",A17)</f>
        <v>Subtotal New Measure Development &amp; Review of Unsolicited Proposals</v>
      </c>
      <c r="B22" s="189">
        <f>SUM(B18:B21)</f>
        <v>58000</v>
      </c>
      <c r="C22" s="189">
        <f>SUM(C18:C21)</f>
        <v>286000</v>
      </c>
      <c r="D22" s="189">
        <f>SUM(D18:D21)</f>
        <v>0</v>
      </c>
      <c r="E22" s="189">
        <f>SUM(E18:E21)</f>
        <v>344000</v>
      </c>
      <c r="F22" s="189">
        <f>SUM(F18:F21)</f>
        <v>11000</v>
      </c>
      <c r="G22" s="190">
        <f>E22/$E$75</f>
        <v>0.18759884386759013</v>
      </c>
      <c r="H22" s="188"/>
      <c r="I22" s="188"/>
      <c r="J22" s="18"/>
      <c r="K22" s="18"/>
      <c r="L22" s="18"/>
      <c r="M22" s="17"/>
      <c r="N22" s="327"/>
    </row>
    <row r="23" spans="1:14" s="326" customFormat="1" x14ac:dyDescent="0.25">
      <c r="A23" s="14"/>
      <c r="B23" s="38"/>
      <c r="C23" s="38"/>
      <c r="D23" s="38"/>
      <c r="E23" s="38"/>
      <c r="F23" s="191"/>
      <c r="G23" s="188"/>
      <c r="H23" s="188"/>
      <c r="I23" s="188"/>
      <c r="J23" s="18"/>
      <c r="K23" s="18"/>
      <c r="L23" s="18"/>
      <c r="M23" s="17"/>
      <c r="N23" s="327"/>
    </row>
    <row r="24" spans="1:14" s="326" customFormat="1" x14ac:dyDescent="0.25">
      <c r="A24" s="18"/>
      <c r="B24" s="38"/>
      <c r="C24" s="38"/>
      <c r="D24" s="38"/>
      <c r="E24" s="38"/>
      <c r="F24" s="191"/>
      <c r="G24" s="188"/>
      <c r="H24" s="188"/>
      <c r="I24" s="188"/>
      <c r="J24" s="39"/>
      <c r="K24" s="39"/>
      <c r="L24" s="39"/>
      <c r="M24" s="17"/>
      <c r="N24" s="327"/>
    </row>
    <row r="25" spans="1:14" s="32" customFormat="1" x14ac:dyDescent="0.25">
      <c r="A25" s="14" t="s">
        <v>48</v>
      </c>
      <c r="B25" s="16"/>
      <c r="C25" s="16"/>
      <c r="D25" s="16"/>
      <c r="E25" s="16"/>
      <c r="F25" s="16"/>
      <c r="G25" s="16"/>
      <c r="H25" s="16"/>
      <c r="I25" s="16"/>
      <c r="J25" s="39"/>
      <c r="K25" s="39"/>
      <c r="L25" s="39"/>
      <c r="M25" s="17"/>
      <c r="N25" s="323"/>
    </row>
    <row r="26" spans="1:14" s="32" customFormat="1" x14ac:dyDescent="0.25">
      <c r="A26" s="17" t="s">
        <v>249</v>
      </c>
      <c r="B26" s="38">
        <v>25000</v>
      </c>
      <c r="C26" s="38">
        <v>25000</v>
      </c>
      <c r="D26" s="38">
        <v>0</v>
      </c>
      <c r="E26" s="38">
        <f>SUM(B26:D26)</f>
        <v>50000</v>
      </c>
      <c r="F26" s="38">
        <v>5000</v>
      </c>
      <c r="G26" s="16"/>
      <c r="H26" s="331" t="s">
        <v>253</v>
      </c>
      <c r="I26" s="329"/>
      <c r="J26" s="330"/>
      <c r="K26" s="330"/>
      <c r="L26" s="330"/>
      <c r="M26" s="17" t="s">
        <v>305</v>
      </c>
      <c r="N26" s="323"/>
    </row>
    <row r="27" spans="1:14" s="32" customFormat="1" x14ac:dyDescent="0.25">
      <c r="A27" s="17" t="s">
        <v>227</v>
      </c>
      <c r="B27" s="38">
        <v>3500</v>
      </c>
      <c r="C27" s="38">
        <v>20000</v>
      </c>
      <c r="D27" s="38">
        <v>0</v>
      </c>
      <c r="E27" s="38">
        <f>SUM(B27:D27)</f>
        <v>23500</v>
      </c>
      <c r="F27" s="38">
        <v>1000</v>
      </c>
      <c r="G27" s="16"/>
      <c r="H27" s="331" t="s">
        <v>253</v>
      </c>
      <c r="I27" s="329"/>
      <c r="J27" s="334"/>
      <c r="K27" s="330"/>
      <c r="L27" s="330"/>
      <c r="M27" s="17" t="s">
        <v>301</v>
      </c>
      <c r="N27" s="323"/>
    </row>
    <row r="28" spans="1:14" s="32" customFormat="1" x14ac:dyDescent="0.25">
      <c r="A28" s="17" t="s">
        <v>247</v>
      </c>
      <c r="B28" s="38">
        <v>0</v>
      </c>
      <c r="C28" s="38">
        <v>120000</v>
      </c>
      <c r="D28" s="38">
        <v>0</v>
      </c>
      <c r="E28" s="38">
        <f t="shared" ref="E28" si="13">SUM(B28:D28)</f>
        <v>120000</v>
      </c>
      <c r="F28" s="38">
        <v>0</v>
      </c>
      <c r="G28" s="190"/>
      <c r="H28" s="331" t="s">
        <v>253</v>
      </c>
      <c r="I28" s="329"/>
      <c r="J28" s="330"/>
      <c r="K28" s="330"/>
      <c r="L28" s="330"/>
      <c r="M28" s="17" t="s">
        <v>300</v>
      </c>
      <c r="N28" s="323"/>
    </row>
    <row r="29" spans="1:14" s="32" customFormat="1" x14ac:dyDescent="0.25">
      <c r="A29" s="14" t="str">
        <f>CONCATENATE("Subtotal ",A25)</f>
        <v>Subtotal Standardization of Technical Analysis</v>
      </c>
      <c r="B29" s="189">
        <f>SUM(B26:B28)</f>
        <v>28500</v>
      </c>
      <c r="C29" s="189">
        <f>SUM(C26:C28)</f>
        <v>165000</v>
      </c>
      <c r="D29" s="189">
        <f>SUM(D26:D28)</f>
        <v>0</v>
      </c>
      <c r="E29" s="189">
        <f>SUM(E26:E28)</f>
        <v>193500</v>
      </c>
      <c r="F29" s="189">
        <f>SUM(F26:F28)</f>
        <v>6000</v>
      </c>
      <c r="G29" s="190">
        <f>E29/$E$75</f>
        <v>0.10552434967551944</v>
      </c>
      <c r="H29" s="16"/>
      <c r="I29" s="16"/>
      <c r="J29" s="39"/>
      <c r="K29" s="39"/>
      <c r="L29" s="39"/>
      <c r="M29" s="17"/>
      <c r="N29" s="323"/>
    </row>
    <row r="30" spans="1:14" s="32" customFormat="1" x14ac:dyDescent="0.25">
      <c r="A30" s="14"/>
      <c r="B30" s="189"/>
      <c r="C30" s="189"/>
      <c r="D30" s="189"/>
      <c r="E30" s="189"/>
      <c r="F30" s="189"/>
      <c r="G30" s="190"/>
      <c r="H30" s="16"/>
      <c r="I30" s="16"/>
      <c r="J30" s="39"/>
      <c r="K30" s="39"/>
      <c r="L30" s="39"/>
      <c r="M30" s="17"/>
      <c r="N30" s="323"/>
    </row>
    <row r="31" spans="1:14" x14ac:dyDescent="0.25">
      <c r="B31" s="192"/>
      <c r="C31" s="192"/>
      <c r="D31" s="192"/>
      <c r="E31" s="192"/>
      <c r="F31" s="193"/>
      <c r="G31" s="194"/>
      <c r="H31" s="194"/>
      <c r="I31" s="194"/>
      <c r="M31" s="24"/>
    </row>
    <row r="32" spans="1:14" s="32" customFormat="1" x14ac:dyDescent="0.25">
      <c r="A32" s="20" t="s">
        <v>64</v>
      </c>
      <c r="B32" s="42"/>
      <c r="C32" s="42"/>
      <c r="D32" s="42"/>
      <c r="E32" s="42"/>
      <c r="F32" s="22"/>
      <c r="G32" s="22"/>
      <c r="H32" s="22"/>
      <c r="I32" s="22"/>
      <c r="J32" s="23"/>
      <c r="K32" s="23"/>
      <c r="L32" s="23"/>
      <c r="M32" s="21"/>
      <c r="N32" s="323"/>
    </row>
    <row r="33" spans="1:14" s="32" customFormat="1" x14ac:dyDescent="0.25">
      <c r="A33" s="21" t="s">
        <v>154</v>
      </c>
      <c r="B33" s="42">
        <v>0</v>
      </c>
      <c r="C33" s="42">
        <v>50000</v>
      </c>
      <c r="D33" s="42">
        <v>0</v>
      </c>
      <c r="E33" s="42">
        <f>SUM(B33:D33)</f>
        <v>50000</v>
      </c>
      <c r="F33" s="42">
        <v>15000</v>
      </c>
      <c r="G33" s="22"/>
      <c r="H33" s="22"/>
      <c r="I33" s="195"/>
      <c r="J33" s="41"/>
      <c r="K33" s="41"/>
      <c r="L33" s="41"/>
      <c r="M33" s="21" t="s">
        <v>323</v>
      </c>
      <c r="N33" s="323"/>
    </row>
    <row r="34" spans="1:14" s="32" customFormat="1" x14ac:dyDescent="0.25">
      <c r="A34" s="22" t="s">
        <v>223</v>
      </c>
      <c r="B34" s="42">
        <v>0</v>
      </c>
      <c r="C34" s="42">
        <v>0</v>
      </c>
      <c r="D34" s="42">
        <v>0</v>
      </c>
      <c r="E34" s="42">
        <f>SUM(B34:D34)</f>
        <v>0</v>
      </c>
      <c r="F34" s="42">
        <v>0</v>
      </c>
      <c r="G34" s="22"/>
      <c r="H34" s="22"/>
      <c r="I34" s="195"/>
      <c r="J34" s="23"/>
      <c r="K34" s="23"/>
      <c r="L34" s="23"/>
      <c r="M34" s="21" t="s">
        <v>278</v>
      </c>
      <c r="N34" s="323"/>
    </row>
    <row r="35" spans="1:14" s="32" customFormat="1" x14ac:dyDescent="0.25">
      <c r="A35" s="20" t="str">
        <f>CONCATENATE("Subtotal ",A32)</f>
        <v>Subtotal Tool Development</v>
      </c>
      <c r="B35" s="196">
        <f>SUM(B33:B34)</f>
        <v>0</v>
      </c>
      <c r="C35" s="196">
        <f>SUM(C33:C34)</f>
        <v>50000</v>
      </c>
      <c r="D35" s="196">
        <f>SUM(D33:D34)</f>
        <v>0</v>
      </c>
      <c r="E35" s="196">
        <f>SUM(E33:E34)</f>
        <v>50000</v>
      </c>
      <c r="F35" s="196">
        <f>SUM(F33:F34)</f>
        <v>15000</v>
      </c>
      <c r="G35" s="197">
        <f>E35/$E$75</f>
        <v>2.7267273817963681E-2</v>
      </c>
      <c r="H35" s="22"/>
      <c r="I35" s="22"/>
      <c r="J35" s="23"/>
      <c r="K35" s="23"/>
      <c r="L35" s="23"/>
      <c r="M35" s="21"/>
      <c r="N35" s="323"/>
    </row>
    <row r="36" spans="1:14" s="32" customFormat="1" x14ac:dyDescent="0.25">
      <c r="A36" s="21"/>
      <c r="B36" s="42"/>
      <c r="C36" s="42"/>
      <c r="D36" s="42"/>
      <c r="E36" s="42"/>
      <c r="F36" s="22"/>
      <c r="G36" s="22"/>
      <c r="H36" s="22"/>
      <c r="I36" s="22"/>
      <c r="J36" s="23"/>
      <c r="K36" s="23"/>
      <c r="L36" s="23"/>
      <c r="M36" s="21"/>
      <c r="N36" s="323"/>
    </row>
    <row r="37" spans="1:14" s="32" customFormat="1" x14ac:dyDescent="0.25">
      <c r="A37" s="21"/>
      <c r="B37" s="42"/>
      <c r="C37" s="42"/>
      <c r="D37" s="42"/>
      <c r="E37" s="42"/>
      <c r="F37" s="22"/>
      <c r="G37" s="22"/>
      <c r="H37" s="22"/>
      <c r="I37" s="22"/>
      <c r="J37" s="23"/>
      <c r="K37" s="23"/>
      <c r="L37" s="23"/>
      <c r="M37" s="21"/>
      <c r="N37" s="323"/>
    </row>
    <row r="38" spans="1:14" s="32" customFormat="1" x14ac:dyDescent="0.25">
      <c r="A38" s="20" t="s">
        <v>26</v>
      </c>
      <c r="B38" s="42"/>
      <c r="C38" s="42"/>
      <c r="D38" s="42"/>
      <c r="E38" s="42"/>
      <c r="F38" s="22"/>
      <c r="G38" s="22"/>
      <c r="H38" s="22"/>
      <c r="I38" s="22"/>
      <c r="J38" s="23"/>
      <c r="K38" s="23"/>
      <c r="L38" s="23"/>
      <c r="M38" s="21"/>
      <c r="N38" s="323"/>
    </row>
    <row r="39" spans="1:14" s="32" customFormat="1" x14ac:dyDescent="0.25">
      <c r="A39" s="324" t="s">
        <v>246</v>
      </c>
      <c r="B39" s="42">
        <v>0</v>
      </c>
      <c r="C39" s="42">
        <v>0</v>
      </c>
      <c r="D39" s="42">
        <v>0</v>
      </c>
      <c r="E39" s="42">
        <f>SUM(B39:D39)</f>
        <v>0</v>
      </c>
      <c r="F39" s="303">
        <v>0</v>
      </c>
      <c r="G39" s="22"/>
      <c r="H39" s="22"/>
      <c r="I39" s="22"/>
      <c r="J39" s="23"/>
      <c r="K39" s="23"/>
      <c r="L39" s="23"/>
      <c r="M39" s="21" t="s">
        <v>248</v>
      </c>
      <c r="N39" s="323"/>
    </row>
    <row r="40" spans="1:14" s="32" customFormat="1" x14ac:dyDescent="0.25">
      <c r="A40" s="20" t="str">
        <f>CONCATENATE("Subtotal ",A38)</f>
        <v>Subtotal Research Projects &amp; Data Development</v>
      </c>
      <c r="B40" s="196">
        <f>SUM(B39:B39)</f>
        <v>0</v>
      </c>
      <c r="C40" s="196">
        <f>SUM(C39:C39)</f>
        <v>0</v>
      </c>
      <c r="D40" s="196">
        <f>SUM(D39:D39)</f>
        <v>0</v>
      </c>
      <c r="E40" s="196">
        <f>SUM(E39:E39)</f>
        <v>0</v>
      </c>
      <c r="F40" s="196">
        <f>SUM(F39:F39)</f>
        <v>0</v>
      </c>
      <c r="G40" s="197">
        <f>E40/$E$75</f>
        <v>0</v>
      </c>
      <c r="H40" s="22"/>
      <c r="I40" s="22"/>
      <c r="J40" s="361"/>
      <c r="K40" s="23"/>
      <c r="L40" s="23"/>
      <c r="M40" s="21"/>
      <c r="N40" s="323"/>
    </row>
    <row r="41" spans="1:14" s="32" customFormat="1" x14ac:dyDescent="0.25">
      <c r="A41" s="23"/>
      <c r="B41" s="42"/>
      <c r="C41" s="42"/>
      <c r="D41" s="42"/>
      <c r="E41" s="42"/>
      <c r="F41" s="22"/>
      <c r="G41" s="22"/>
      <c r="H41" s="22"/>
      <c r="I41" s="22"/>
      <c r="J41" s="325"/>
      <c r="K41" s="23"/>
      <c r="L41" s="23"/>
      <c r="M41" s="21"/>
      <c r="N41" s="323"/>
    </row>
    <row r="42" spans="1:14" s="32" customFormat="1" x14ac:dyDescent="0.25">
      <c r="A42" s="21"/>
      <c r="B42" s="42"/>
      <c r="C42" s="42"/>
      <c r="D42" s="42"/>
      <c r="E42" s="42"/>
      <c r="F42" s="22"/>
      <c r="G42" s="22"/>
      <c r="H42" s="22"/>
      <c r="I42" s="22"/>
      <c r="J42" s="23"/>
      <c r="K42" s="23"/>
      <c r="L42" s="23"/>
      <c r="M42" s="21"/>
      <c r="N42" s="323"/>
    </row>
    <row r="43" spans="1:14" s="32" customFormat="1" x14ac:dyDescent="0.25">
      <c r="A43" s="20" t="s">
        <v>245</v>
      </c>
      <c r="B43" s="42"/>
      <c r="C43" s="42"/>
      <c r="D43" s="42"/>
      <c r="E43" s="42"/>
      <c r="F43" s="22"/>
      <c r="G43" s="22"/>
      <c r="H43" s="22"/>
      <c r="I43" s="22"/>
      <c r="J43" s="23"/>
      <c r="K43" s="23"/>
      <c r="L43" s="23"/>
      <c r="M43" s="21"/>
      <c r="N43" s="323"/>
    </row>
    <row r="44" spans="1:14" s="32" customFormat="1" x14ac:dyDescent="0.25">
      <c r="A44" s="21" t="s">
        <v>197</v>
      </c>
      <c r="B44" s="42">
        <v>0</v>
      </c>
      <c r="C44" s="42">
        <v>35000</v>
      </c>
      <c r="D44" s="42">
        <v>0</v>
      </c>
      <c r="E44" s="42">
        <f>SUM(B44:D44)</f>
        <v>35000</v>
      </c>
      <c r="F44" s="303">
        <v>1000</v>
      </c>
      <c r="G44" s="22"/>
      <c r="H44" s="22"/>
      <c r="I44" s="22"/>
      <c r="J44" s="23"/>
      <c r="K44" s="23"/>
      <c r="L44" s="23"/>
      <c r="M44" s="21" t="s">
        <v>299</v>
      </c>
      <c r="N44" s="323"/>
    </row>
    <row r="45" spans="1:14" s="32" customFormat="1" x14ac:dyDescent="0.25">
      <c r="A45" s="21" t="s">
        <v>302</v>
      </c>
      <c r="B45" s="42">
        <v>0</v>
      </c>
      <c r="C45" s="42">
        <v>50000</v>
      </c>
      <c r="D45" s="42">
        <v>0</v>
      </c>
      <c r="E45" s="42">
        <f t="shared" ref="E45:E47" si="14">SUM(B45:D45)</f>
        <v>50000</v>
      </c>
      <c r="F45" s="303">
        <v>0</v>
      </c>
      <c r="G45" s="22"/>
      <c r="H45" s="22"/>
      <c r="I45" s="22"/>
      <c r="J45" s="23"/>
      <c r="K45" s="23"/>
      <c r="L45" s="23"/>
      <c r="M45" s="21" t="s">
        <v>324</v>
      </c>
      <c r="N45" s="323"/>
    </row>
    <row r="46" spans="1:14" s="32" customFormat="1" x14ac:dyDescent="0.25">
      <c r="A46" s="21" t="s">
        <v>304</v>
      </c>
      <c r="B46" s="42">
        <v>20000</v>
      </c>
      <c r="C46" s="42">
        <v>40000</v>
      </c>
      <c r="D46" s="42">
        <v>0</v>
      </c>
      <c r="E46" s="42">
        <f t="shared" si="14"/>
        <v>60000</v>
      </c>
      <c r="F46" s="303">
        <v>5000</v>
      </c>
      <c r="G46" s="197"/>
      <c r="H46" s="22"/>
      <c r="I46" s="22"/>
      <c r="J46" s="23"/>
      <c r="K46" s="23"/>
      <c r="L46" s="23"/>
      <c r="M46" s="21" t="s">
        <v>325</v>
      </c>
      <c r="N46" s="323"/>
    </row>
    <row r="47" spans="1:14" s="32" customFormat="1" x14ac:dyDescent="0.25">
      <c r="A47" s="21" t="s">
        <v>322</v>
      </c>
      <c r="B47" s="42">
        <v>50000</v>
      </c>
      <c r="C47" s="42">
        <v>40000</v>
      </c>
      <c r="D47" s="42">
        <v>0</v>
      </c>
      <c r="E47" s="42">
        <f t="shared" si="14"/>
        <v>90000</v>
      </c>
      <c r="F47" s="303"/>
      <c r="G47" s="197"/>
      <c r="H47" s="22"/>
      <c r="I47" s="22"/>
      <c r="J47" s="23"/>
      <c r="K47" s="23"/>
      <c r="L47" s="23"/>
      <c r="M47" s="21" t="s">
        <v>326</v>
      </c>
      <c r="N47" s="323"/>
    </row>
    <row r="48" spans="1:14" s="32" customFormat="1" x14ac:dyDescent="0.25">
      <c r="A48" s="21" t="s">
        <v>267</v>
      </c>
      <c r="B48" s="42">
        <v>0</v>
      </c>
      <c r="C48" s="42">
        <v>50000</v>
      </c>
      <c r="D48" s="42">
        <v>0</v>
      </c>
      <c r="E48" s="42">
        <f t="shared" ref="E48" si="15">SUM(B48:D48)</f>
        <v>50000</v>
      </c>
      <c r="F48" s="303">
        <v>15000</v>
      </c>
      <c r="G48" s="197"/>
      <c r="H48" s="22"/>
      <c r="I48" s="22"/>
      <c r="J48" s="23"/>
      <c r="K48" s="23"/>
      <c r="L48" s="23"/>
      <c r="M48" s="21" t="s">
        <v>327</v>
      </c>
      <c r="N48" s="323"/>
    </row>
    <row r="49" spans="1:14" s="32" customFormat="1" x14ac:dyDescent="0.25">
      <c r="A49" s="20" t="str">
        <f>CONCATENATE("Subtotal ",A43)</f>
        <v>Subtotal Regional Coordination (Research and Data Development)</v>
      </c>
      <c r="B49" s="196">
        <f>SUM(B44:B48)</f>
        <v>70000</v>
      </c>
      <c r="C49" s="196">
        <f>SUM(C44:C48)</f>
        <v>215000</v>
      </c>
      <c r="D49" s="196">
        <f>SUM(D44:D48)</f>
        <v>0</v>
      </c>
      <c r="E49" s="196">
        <f>SUM(E44:E48)</f>
        <v>285000</v>
      </c>
      <c r="F49" s="196">
        <f>SUM(F44:F48)</f>
        <v>21000</v>
      </c>
      <c r="G49" s="197">
        <f>E49/$E$75</f>
        <v>0.15542346076239297</v>
      </c>
      <c r="H49" s="22"/>
      <c r="I49" s="22"/>
      <c r="J49" s="23"/>
      <c r="K49" s="23"/>
      <c r="L49" s="23"/>
      <c r="M49" s="21"/>
      <c r="N49" s="323"/>
    </row>
    <row r="50" spans="1:14" s="32" customFormat="1" x14ac:dyDescent="0.25">
      <c r="A50" s="23"/>
      <c r="B50" s="42"/>
      <c r="C50" s="42"/>
      <c r="D50" s="42"/>
      <c r="E50" s="42"/>
      <c r="F50" s="22"/>
      <c r="G50" s="22"/>
      <c r="H50" s="22"/>
      <c r="I50" s="22"/>
      <c r="J50" s="23"/>
      <c r="K50" s="23"/>
      <c r="L50" s="23"/>
      <c r="M50" s="21"/>
      <c r="N50" s="323"/>
    </row>
    <row r="51" spans="1:14" x14ac:dyDescent="0.25">
      <c r="A51" s="24"/>
      <c r="B51" s="192"/>
      <c r="C51" s="192"/>
      <c r="D51" s="192"/>
      <c r="E51" s="192"/>
      <c r="F51" s="194"/>
      <c r="G51" s="194"/>
      <c r="H51" s="194"/>
      <c r="I51" s="194"/>
      <c r="M51" s="24"/>
    </row>
    <row r="52" spans="1:14" s="32" customFormat="1" x14ac:dyDescent="0.25">
      <c r="A52" s="25" t="s">
        <v>46</v>
      </c>
      <c r="B52" s="198"/>
      <c r="C52" s="198"/>
      <c r="D52" s="198"/>
      <c r="E52" s="198"/>
      <c r="F52" s="199"/>
      <c r="G52" s="199"/>
      <c r="H52" s="199"/>
      <c r="I52" s="199"/>
      <c r="J52" s="27"/>
      <c r="K52" s="27"/>
      <c r="L52" s="27"/>
      <c r="M52" s="26"/>
      <c r="N52" s="323"/>
    </row>
    <row r="53" spans="1:14" s="32" customFormat="1" x14ac:dyDescent="0.25">
      <c r="A53" s="26" t="s">
        <v>155</v>
      </c>
      <c r="B53" s="198">
        <v>10000</v>
      </c>
      <c r="C53" s="198">
        <v>0</v>
      </c>
      <c r="D53" s="198">
        <v>0</v>
      </c>
      <c r="E53" s="198">
        <f>SUM(B53:D53)</f>
        <v>10000</v>
      </c>
      <c r="F53" s="198">
        <v>30000</v>
      </c>
      <c r="G53" s="199"/>
      <c r="H53" s="199"/>
      <c r="I53" s="199"/>
      <c r="J53" s="27"/>
      <c r="K53" s="27"/>
      <c r="L53" s="27"/>
      <c r="M53" s="26" t="s">
        <v>276</v>
      </c>
      <c r="N53" s="323"/>
    </row>
    <row r="54" spans="1:14" s="32" customFormat="1" x14ac:dyDescent="0.25">
      <c r="A54" s="26" t="s">
        <v>244</v>
      </c>
      <c r="B54" s="198">
        <v>55000</v>
      </c>
      <c r="C54" s="198">
        <v>10000</v>
      </c>
      <c r="D54" s="198">
        <v>0</v>
      </c>
      <c r="E54" s="198">
        <f>SUM(B54:D54)</f>
        <v>65000</v>
      </c>
      <c r="F54" s="198">
        <v>15000</v>
      </c>
      <c r="G54" s="199" t="s">
        <v>138</v>
      </c>
      <c r="H54" s="199"/>
      <c r="I54" s="199"/>
      <c r="J54" s="27"/>
      <c r="K54" s="27"/>
      <c r="L54" s="27"/>
      <c r="M54" s="26" t="s">
        <v>252</v>
      </c>
      <c r="N54" s="323"/>
    </row>
    <row r="55" spans="1:14" s="32" customFormat="1" x14ac:dyDescent="0.25">
      <c r="A55" s="25" t="str">
        <f>CONCATENATE("Subtotal ",A52)</f>
        <v xml:space="preserve">Subtotal Website, Database support, Conservation Tracking </v>
      </c>
      <c r="B55" s="200">
        <f>SUM(B53:B54)</f>
        <v>65000</v>
      </c>
      <c r="C55" s="200">
        <f>SUM(C53:C54)</f>
        <v>10000</v>
      </c>
      <c r="D55" s="200">
        <f>SUM(D53:D54)</f>
        <v>0</v>
      </c>
      <c r="E55" s="200">
        <f>SUM(E53:E54)</f>
        <v>75000</v>
      </c>
      <c r="F55" s="200">
        <f>SUM(F53:F54)</f>
        <v>45000</v>
      </c>
      <c r="G55" s="201">
        <f>E55/$E$75</f>
        <v>4.0900910726945523E-2</v>
      </c>
      <c r="H55" s="199"/>
      <c r="I55" s="199"/>
      <c r="J55" s="27"/>
      <c r="K55" s="27"/>
      <c r="L55" s="27"/>
      <c r="M55" s="26"/>
      <c r="N55" s="323"/>
    </row>
    <row r="56" spans="1:14" s="32" customFormat="1" x14ac:dyDescent="0.25">
      <c r="A56" s="25"/>
      <c r="B56" s="198"/>
      <c r="C56" s="198"/>
      <c r="D56" s="198"/>
      <c r="E56" s="198"/>
      <c r="F56" s="198"/>
      <c r="G56" s="199"/>
      <c r="H56" s="199"/>
      <c r="I56" s="199"/>
      <c r="J56" s="27"/>
      <c r="K56" s="27"/>
      <c r="L56" s="27"/>
      <c r="M56" s="26"/>
      <c r="N56" s="323"/>
    </row>
    <row r="57" spans="1:14" s="32" customFormat="1" x14ac:dyDescent="0.25">
      <c r="A57" s="26"/>
      <c r="B57" s="198"/>
      <c r="C57" s="198"/>
      <c r="D57" s="198"/>
      <c r="E57" s="198"/>
      <c r="F57" s="198"/>
      <c r="G57" s="199"/>
      <c r="H57" s="199"/>
      <c r="I57" s="199"/>
      <c r="J57" s="27"/>
      <c r="K57" s="27"/>
      <c r="L57" s="27"/>
      <c r="M57" s="26"/>
      <c r="N57" s="323"/>
    </row>
    <row r="58" spans="1:14" s="32" customFormat="1" x14ac:dyDescent="0.25">
      <c r="A58" s="25" t="s">
        <v>255</v>
      </c>
      <c r="B58" s="198"/>
      <c r="C58" s="198"/>
      <c r="D58" s="198"/>
      <c r="E58" s="198"/>
      <c r="F58" s="198"/>
      <c r="G58" s="199"/>
      <c r="H58" s="199"/>
      <c r="I58" s="199"/>
      <c r="J58" s="27"/>
      <c r="K58" s="27"/>
      <c r="L58" s="27"/>
      <c r="M58" s="26"/>
      <c r="N58" s="323"/>
    </row>
    <row r="59" spans="1:14" s="32" customFormat="1" x14ac:dyDescent="0.25">
      <c r="A59" s="26" t="s">
        <v>136</v>
      </c>
      <c r="B59" s="198">
        <v>37900</v>
      </c>
      <c r="C59" s="198">
        <v>0</v>
      </c>
      <c r="D59" s="198">
        <v>0</v>
      </c>
      <c r="E59" s="198">
        <f>SUM(B59:D59)</f>
        <v>37900</v>
      </c>
      <c r="F59" s="198">
        <v>10000</v>
      </c>
      <c r="G59" s="202"/>
      <c r="H59" s="202"/>
      <c r="I59" s="199"/>
      <c r="J59" s="27"/>
      <c r="K59" s="27"/>
      <c r="L59" s="27"/>
      <c r="M59" s="305" t="s">
        <v>268</v>
      </c>
      <c r="N59" s="323"/>
    </row>
    <row r="60" spans="1:14" s="32" customFormat="1" x14ac:dyDescent="0.25">
      <c r="A60" s="26" t="s">
        <v>306</v>
      </c>
      <c r="B60" s="198">
        <v>149000</v>
      </c>
      <c r="C60" s="198">
        <v>75000</v>
      </c>
      <c r="D60" s="198">
        <v>0</v>
      </c>
      <c r="E60" s="198">
        <f>SUM(B60:D60)</f>
        <v>224000</v>
      </c>
      <c r="F60" s="198">
        <v>0</v>
      </c>
      <c r="G60" s="201"/>
      <c r="H60" s="199"/>
      <c r="I60" s="199"/>
      <c r="J60" s="27"/>
      <c r="K60" s="27"/>
      <c r="L60" s="27"/>
      <c r="M60" s="26" t="s">
        <v>307</v>
      </c>
      <c r="N60" s="323"/>
    </row>
    <row r="61" spans="1:14" s="32" customFormat="1" x14ac:dyDescent="0.25">
      <c r="A61" s="25" t="str">
        <f>CONCATENATE("Subtotal ",A58)</f>
        <v>Subtotal RTF Meetings and Member Support</v>
      </c>
      <c r="B61" s="200">
        <f>SUM(B59:B60)</f>
        <v>186900</v>
      </c>
      <c r="C61" s="200">
        <f>SUM(C59:C60)</f>
        <v>75000</v>
      </c>
      <c r="D61" s="200">
        <f>SUM(D59:D60)</f>
        <v>0</v>
      </c>
      <c r="E61" s="200">
        <f>SUM(E59:E60)</f>
        <v>261900</v>
      </c>
      <c r="F61" s="200">
        <f>SUM(F59:F60)</f>
        <v>10000</v>
      </c>
      <c r="G61" s="201">
        <f>E61/$E$75</f>
        <v>0.14282598025849375</v>
      </c>
      <c r="H61" s="199"/>
      <c r="I61" s="199"/>
      <c r="J61" s="27"/>
      <c r="K61" s="27"/>
      <c r="L61" s="27"/>
      <c r="M61" s="27"/>
      <c r="N61" s="323"/>
    </row>
    <row r="62" spans="1:14" s="32" customFormat="1" x14ac:dyDescent="0.25">
      <c r="A62" s="27"/>
      <c r="B62" s="198"/>
      <c r="C62" s="198"/>
      <c r="D62" s="198"/>
      <c r="E62" s="198"/>
      <c r="F62" s="198"/>
      <c r="G62" s="199"/>
      <c r="H62" s="199"/>
      <c r="I62" s="199"/>
      <c r="J62" s="27"/>
      <c r="K62" s="27"/>
      <c r="L62" s="27"/>
      <c r="M62" s="27"/>
      <c r="N62" s="323"/>
    </row>
    <row r="63" spans="1:14" s="32" customFormat="1" x14ac:dyDescent="0.25">
      <c r="A63" s="27"/>
      <c r="B63" s="198"/>
      <c r="C63" s="198"/>
      <c r="D63" s="198"/>
      <c r="E63" s="198"/>
      <c r="F63" s="198"/>
      <c r="G63" s="199"/>
      <c r="H63" s="199"/>
      <c r="I63" s="199"/>
      <c r="J63" s="27"/>
      <c r="K63" s="27"/>
      <c r="L63" s="27"/>
      <c r="M63" s="27"/>
      <c r="N63" s="323"/>
    </row>
    <row r="64" spans="1:14" s="32" customFormat="1" x14ac:dyDescent="0.25">
      <c r="A64" s="25" t="s">
        <v>49</v>
      </c>
      <c r="B64" s="198"/>
      <c r="C64" s="198"/>
      <c r="D64" s="198"/>
      <c r="E64" s="198"/>
      <c r="F64" s="198"/>
      <c r="G64" s="199"/>
      <c r="H64" s="441"/>
      <c r="I64" s="441"/>
      <c r="J64" s="441"/>
      <c r="K64" s="441"/>
      <c r="L64" s="441"/>
      <c r="M64" s="27"/>
      <c r="N64" s="323"/>
    </row>
    <row r="65" spans="1:26" s="32" customFormat="1" x14ac:dyDescent="0.25">
      <c r="A65" s="26" t="s">
        <v>119</v>
      </c>
      <c r="B65" s="198">
        <v>0</v>
      </c>
      <c r="C65" s="198">
        <v>0</v>
      </c>
      <c r="D65" s="198">
        <f t="shared" ref="D65:D70" si="16">148000*K65</f>
        <v>22200</v>
      </c>
      <c r="E65" s="198">
        <f>SUM(B65:D65)</f>
        <v>22200</v>
      </c>
      <c r="F65" s="198">
        <v>5000</v>
      </c>
      <c r="G65" s="199"/>
      <c r="H65" s="199"/>
      <c r="I65" s="27"/>
      <c r="J65" s="27"/>
      <c r="K65" s="260">
        <v>0.15</v>
      </c>
      <c r="L65" s="27"/>
      <c r="M65" s="305" t="s">
        <v>251</v>
      </c>
      <c r="N65" s="323"/>
    </row>
    <row r="66" spans="1:26" s="32" customFormat="1" x14ac:dyDescent="0.25">
      <c r="A66" s="26" t="s">
        <v>243</v>
      </c>
      <c r="B66" s="198">
        <v>0</v>
      </c>
      <c r="C66" s="198">
        <v>0</v>
      </c>
      <c r="D66" s="198">
        <f t="shared" si="16"/>
        <v>37000</v>
      </c>
      <c r="E66" s="198">
        <f>SUM(B66:D66)</f>
        <v>37000</v>
      </c>
      <c r="F66" s="198">
        <v>0</v>
      </c>
      <c r="G66" s="203"/>
      <c r="H66" s="202"/>
      <c r="I66" s="27"/>
      <c r="J66" s="27"/>
      <c r="K66" s="260">
        <v>0.25</v>
      </c>
      <c r="L66" s="27"/>
      <c r="M66" s="305" t="s">
        <v>250</v>
      </c>
      <c r="N66" s="323"/>
    </row>
    <row r="67" spans="1:26" s="32" customFormat="1" x14ac:dyDescent="0.25">
      <c r="A67" s="26" t="s">
        <v>132</v>
      </c>
      <c r="B67" s="198">
        <v>3300</v>
      </c>
      <c r="C67" s="198">
        <v>0</v>
      </c>
      <c r="D67" s="198">
        <f t="shared" si="16"/>
        <v>22200</v>
      </c>
      <c r="E67" s="198">
        <f t="shared" ref="E67:E70" si="17">SUM(B67:D67)</f>
        <v>25500</v>
      </c>
      <c r="F67" s="198">
        <v>50000</v>
      </c>
      <c r="G67" s="203"/>
      <c r="H67" s="203"/>
      <c r="I67" s="27"/>
      <c r="J67" s="167"/>
      <c r="K67" s="260">
        <v>0.15</v>
      </c>
      <c r="L67" s="27"/>
      <c r="M67" s="305" t="s">
        <v>266</v>
      </c>
      <c r="N67" s="323"/>
    </row>
    <row r="68" spans="1:26" s="32" customFormat="1" x14ac:dyDescent="0.25">
      <c r="A68" s="26" t="s">
        <v>135</v>
      </c>
      <c r="B68" s="198">
        <v>0</v>
      </c>
      <c r="C68" s="198">
        <v>0</v>
      </c>
      <c r="D68" s="198">
        <f t="shared" si="16"/>
        <v>29600</v>
      </c>
      <c r="E68" s="198">
        <f t="shared" si="17"/>
        <v>29600</v>
      </c>
      <c r="F68" s="198">
        <v>1000</v>
      </c>
      <c r="G68" s="199"/>
      <c r="H68" s="199"/>
      <c r="I68" s="27"/>
      <c r="J68" s="27"/>
      <c r="K68" s="260">
        <v>0.2</v>
      </c>
      <c r="L68" s="27"/>
      <c r="M68" s="305" t="s">
        <v>269</v>
      </c>
      <c r="N68" s="323"/>
    </row>
    <row r="69" spans="1:26" s="32" customFormat="1" x14ac:dyDescent="0.25">
      <c r="A69" s="26" t="s">
        <v>90</v>
      </c>
      <c r="B69" s="198">
        <v>1000</v>
      </c>
      <c r="C69" s="198">
        <v>0</v>
      </c>
      <c r="D69" s="198">
        <f t="shared" si="16"/>
        <v>7400</v>
      </c>
      <c r="E69" s="198">
        <f t="shared" si="17"/>
        <v>8400</v>
      </c>
      <c r="F69" s="198">
        <v>500</v>
      </c>
      <c r="G69" s="203"/>
      <c r="H69" s="202"/>
      <c r="I69" s="27"/>
      <c r="J69" s="27"/>
      <c r="K69" s="260">
        <v>0.05</v>
      </c>
      <c r="L69" s="27"/>
      <c r="M69" s="305" t="s">
        <v>291</v>
      </c>
      <c r="N69" s="323"/>
    </row>
    <row r="70" spans="1:26" s="32" customFormat="1" x14ac:dyDescent="0.25">
      <c r="A70" s="26" t="s">
        <v>264</v>
      </c>
      <c r="B70" s="198">
        <v>0</v>
      </c>
      <c r="C70" s="198">
        <v>0</v>
      </c>
      <c r="D70" s="198">
        <f t="shared" si="16"/>
        <v>29600</v>
      </c>
      <c r="E70" s="198">
        <f t="shared" si="17"/>
        <v>29600</v>
      </c>
      <c r="F70" s="198">
        <v>10000</v>
      </c>
      <c r="G70" s="203"/>
      <c r="H70" s="202"/>
      <c r="I70" s="27"/>
      <c r="J70" s="27"/>
      <c r="K70" s="260">
        <v>0.2</v>
      </c>
      <c r="L70" s="27"/>
      <c r="M70" s="305" t="s">
        <v>265</v>
      </c>
      <c r="N70" s="323"/>
    </row>
    <row r="71" spans="1:26" s="32" customFormat="1" x14ac:dyDescent="0.25">
      <c r="A71" s="26" t="s">
        <v>220</v>
      </c>
      <c r="B71" s="198">
        <v>0</v>
      </c>
      <c r="C71" s="198">
        <v>0</v>
      </c>
      <c r="D71" s="198">
        <v>5000</v>
      </c>
      <c r="E71" s="198">
        <f>SUM(B71:D71)</f>
        <v>5000</v>
      </c>
      <c r="F71" s="198">
        <v>0</v>
      </c>
      <c r="G71" s="203"/>
      <c r="H71" s="202"/>
      <c r="I71" s="27"/>
      <c r="J71" s="27"/>
      <c r="K71" s="260"/>
      <c r="L71" s="27"/>
      <c r="M71" s="27"/>
      <c r="N71" s="323"/>
    </row>
    <row r="72" spans="1:26" s="32" customFormat="1" x14ac:dyDescent="0.25">
      <c r="A72" s="25" t="str">
        <f>CONCATENATE("Subtotal ",A64)</f>
        <v>Subtotal RTF Management</v>
      </c>
      <c r="B72" s="200">
        <f>SUM(B65:B71)</f>
        <v>4300</v>
      </c>
      <c r="C72" s="200">
        <f>SUM(C65:C71)</f>
        <v>0</v>
      </c>
      <c r="D72" s="200">
        <f>SUM(D65:D71)</f>
        <v>153000</v>
      </c>
      <c r="E72" s="200">
        <f>SUM(E65:E71)</f>
        <v>157300</v>
      </c>
      <c r="F72" s="200">
        <f>SUM(F65:F71)</f>
        <v>66500</v>
      </c>
      <c r="G72" s="201">
        <f>E72/$E$75</f>
        <v>8.5782843431313732E-2</v>
      </c>
      <c r="H72" s="199"/>
      <c r="I72" s="27"/>
      <c r="J72" s="27"/>
      <c r="K72" s="261">
        <f>SUM(K65:K70)</f>
        <v>1</v>
      </c>
      <c r="L72" s="27"/>
      <c r="M72" s="27"/>
      <c r="N72" s="323"/>
    </row>
    <row r="73" spans="1:26" s="32" customFormat="1" x14ac:dyDescent="0.25">
      <c r="A73" s="27"/>
      <c r="B73" s="27"/>
      <c r="C73" s="27"/>
      <c r="D73" s="27"/>
      <c r="E73" s="27"/>
      <c r="F73" s="27"/>
      <c r="G73" s="27"/>
      <c r="H73" s="27"/>
      <c r="I73" s="27"/>
      <c r="J73" s="27"/>
      <c r="K73" s="27"/>
      <c r="L73" s="27"/>
      <c r="M73" s="27"/>
      <c r="N73" s="323"/>
    </row>
    <row r="75" spans="1:26" x14ac:dyDescent="0.25">
      <c r="A75" s="28" t="s">
        <v>320</v>
      </c>
      <c r="B75" s="43">
        <f>SUM(B14,B22,B29,B35,B40,B49,B55,B61,B72)</f>
        <v>488700</v>
      </c>
      <c r="C75" s="43">
        <f>SUM(C14,C22,C29,C35,C40,C49,C55,C61,C72)</f>
        <v>1192000</v>
      </c>
      <c r="D75" s="43">
        <f>SUM(D14,D22,D29,D35,D40,D49,D55,D61,D72)</f>
        <v>153000</v>
      </c>
      <c r="E75" s="43">
        <f>SUM(E14,E22,E29,E35,E40,E49,E55,E61,E72)</f>
        <v>1833700</v>
      </c>
      <c r="F75" s="43">
        <f>SUM(F14,F22,F29,F35,F40,F49,F55,F61,F72)</f>
        <v>194500</v>
      </c>
      <c r="G75" s="44">
        <f>SUM(G9:G74)</f>
        <v>1</v>
      </c>
      <c r="H75" s="29"/>
      <c r="I75" s="29"/>
      <c r="J75" s="29"/>
      <c r="K75" s="29"/>
      <c r="L75" s="29"/>
      <c r="M75" s="29"/>
      <c r="N75" s="45"/>
      <c r="O75" s="29"/>
      <c r="P75" s="29"/>
      <c r="Q75" s="29"/>
      <c r="R75" s="29"/>
      <c r="S75" s="29"/>
      <c r="T75" s="29"/>
      <c r="U75" s="29"/>
      <c r="V75" s="29"/>
      <c r="W75" s="29"/>
      <c r="X75" s="29"/>
      <c r="Y75" s="29"/>
      <c r="Z75" s="29"/>
    </row>
    <row r="76" spans="1:26" x14ac:dyDescent="0.25">
      <c r="F76" s="204"/>
    </row>
    <row r="77" spans="1:26" x14ac:dyDescent="0.25">
      <c r="A77" s="168" t="s">
        <v>164</v>
      </c>
      <c r="B77" s="173"/>
      <c r="D77" s="268"/>
      <c r="E77" s="269" t="s">
        <v>218</v>
      </c>
      <c r="F77" s="270" t="s">
        <v>217</v>
      </c>
      <c r="N77" s="19"/>
    </row>
    <row r="78" spans="1:26" x14ac:dyDescent="0.25">
      <c r="A78" s="169" t="s">
        <v>165</v>
      </c>
      <c r="B78" s="170">
        <f>B75/$E$75</f>
        <v>0.26651033429677701</v>
      </c>
      <c r="D78" s="265" t="s">
        <v>219</v>
      </c>
      <c r="E78" s="266">
        <v>1203500</v>
      </c>
      <c r="F78" s="278">
        <f>E78-C75</f>
        <v>11500</v>
      </c>
      <c r="H78" s="280"/>
      <c r="N78" s="19"/>
    </row>
    <row r="79" spans="1:26" x14ac:dyDescent="0.25">
      <c r="A79" s="169" t="s">
        <v>221</v>
      </c>
      <c r="B79" s="170">
        <f>C75/$E$75</f>
        <v>0.65005180782025418</v>
      </c>
      <c r="D79" s="265" t="s">
        <v>150</v>
      </c>
      <c r="E79" s="266">
        <v>153000</v>
      </c>
      <c r="F79" s="267">
        <f>E79-D72</f>
        <v>0</v>
      </c>
      <c r="J79" s="280"/>
    </row>
    <row r="80" spans="1:26" x14ac:dyDescent="0.25">
      <c r="A80" s="169" t="s">
        <v>222</v>
      </c>
      <c r="B80" s="170">
        <f>D75/E75</f>
        <v>8.3437857882968855E-2</v>
      </c>
      <c r="C80" s="58"/>
      <c r="D80" s="265" t="s">
        <v>148</v>
      </c>
      <c r="E80" s="266">
        <f>E81-E78-E79</f>
        <v>477200</v>
      </c>
      <c r="F80" s="267">
        <f>E80-B75</f>
        <v>-11500</v>
      </c>
      <c r="N80" s="19"/>
    </row>
    <row r="81" spans="1:14" x14ac:dyDescent="0.25">
      <c r="A81" s="171" t="s">
        <v>166</v>
      </c>
      <c r="B81" s="170">
        <f>SUM(F14,F22,F29,F35,F40,F49,F55)/SUM(F14,F22,F29,F35,F40,F49,F55,F72,F61)</f>
        <v>0.60668380462724936</v>
      </c>
      <c r="C81" s="58"/>
      <c r="D81" s="271" t="s">
        <v>103</v>
      </c>
      <c r="E81" s="272">
        <f>F7</f>
        <v>1833700</v>
      </c>
      <c r="F81" s="273">
        <f>E81-E7</f>
        <v>0</v>
      </c>
      <c r="N81" s="19"/>
    </row>
    <row r="82" spans="1:14" x14ac:dyDescent="0.25">
      <c r="A82" s="171" t="s">
        <v>167</v>
      </c>
      <c r="B82" s="170">
        <f>1-B81</f>
        <v>0.39331619537275064</v>
      </c>
      <c r="D82" s="274" t="s">
        <v>216</v>
      </c>
      <c r="E82" s="276">
        <f>'NPCC In Kind'!Y27</f>
        <v>200624</v>
      </c>
      <c r="F82" s="275">
        <f>E82-F75</f>
        <v>6124</v>
      </c>
    </row>
    <row r="83" spans="1:14" x14ac:dyDescent="0.25">
      <c r="A83" s="169" t="s">
        <v>163</v>
      </c>
      <c r="B83" s="172">
        <f>SUM(B21+B13)</f>
        <v>105000</v>
      </c>
      <c r="I83" s="252"/>
      <c r="N83" s="19"/>
    </row>
    <row r="84" spans="1:14" x14ac:dyDescent="0.25">
      <c r="A84" s="171" t="s">
        <v>228</v>
      </c>
      <c r="B84" s="277">
        <f>C75/('NPCC In Kind'!W2)</f>
        <v>6.4830997048521724</v>
      </c>
      <c r="D84" s="281"/>
      <c r="E84" s="281"/>
      <c r="F84" s="281"/>
      <c r="G84" s="281"/>
      <c r="N84" s="19"/>
    </row>
    <row r="85" spans="1:14" x14ac:dyDescent="0.25">
      <c r="A85" s="257" t="s">
        <v>162</v>
      </c>
      <c r="B85" s="258">
        <f>F75/('NPCC In Kind'!W2)</f>
        <v>1.0578547756658956</v>
      </c>
      <c r="D85" s="281"/>
      <c r="E85" s="281"/>
      <c r="F85" s="281"/>
      <c r="G85" s="281"/>
      <c r="I85" s="280"/>
    </row>
    <row r="86" spans="1:14" x14ac:dyDescent="0.25">
      <c r="D86" s="281"/>
      <c r="E86" s="281"/>
      <c r="F86" s="281"/>
      <c r="G86" s="281"/>
      <c r="I86" s="280"/>
    </row>
    <row r="87" spans="1:14" x14ac:dyDescent="0.25">
      <c r="D87" s="281"/>
      <c r="E87" s="281"/>
      <c r="F87" s="281"/>
      <c r="G87" s="281"/>
    </row>
    <row r="88" spans="1:14" x14ac:dyDescent="0.25">
      <c r="D88" s="281"/>
      <c r="E88" s="281"/>
      <c r="F88" s="281"/>
      <c r="G88" s="281"/>
    </row>
    <row r="89" spans="1:14" x14ac:dyDescent="0.25">
      <c r="D89" s="281"/>
      <c r="E89" s="281"/>
      <c r="F89" s="281"/>
      <c r="G89" s="281"/>
    </row>
    <row r="90" spans="1:14" x14ac:dyDescent="0.25">
      <c r="D90" s="281"/>
      <c r="E90" s="281"/>
      <c r="F90" s="281"/>
      <c r="G90" s="281"/>
      <c r="J90" s="280"/>
    </row>
    <row r="91" spans="1:14" x14ac:dyDescent="0.25">
      <c r="D91" s="281"/>
      <c r="E91" s="281"/>
      <c r="F91" s="281"/>
      <c r="G91" s="281"/>
      <c r="J91" s="280"/>
      <c r="K91" s="252"/>
    </row>
    <row r="92" spans="1:14" x14ac:dyDescent="0.25">
      <c r="J92" s="280"/>
    </row>
  </sheetData>
  <mergeCells count="2">
    <mergeCell ref="H7:L7"/>
    <mergeCell ref="H64:L64"/>
  </mergeCells>
  <conditionalFormatting sqref="G7">
    <cfRule type="cellIs" dxfId="3" priority="1" operator="lessThan">
      <formula>0</formula>
    </cfRule>
    <cfRule type="cellIs" dxfId="2" priority="2" operator="greaterThanOrEqual">
      <formula>0</formula>
    </cfRule>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0"/>
  <sheetViews>
    <sheetView topLeftCell="A16" zoomScaleNormal="100" workbookViewId="0">
      <pane xSplit="2" topLeftCell="C1" activePane="topRight" state="frozen"/>
      <selection pane="topRight"/>
    </sheetView>
  </sheetViews>
  <sheetFormatPr defaultColWidth="8.85546875" defaultRowHeight="15.75" x14ac:dyDescent="0.25"/>
  <cols>
    <col min="1" max="1" width="8.85546875" style="19"/>
    <col min="2" max="2" width="51" style="19" bestFit="1" customWidth="1"/>
    <col min="3" max="7" width="13.85546875" style="19" customWidth="1"/>
    <col min="8" max="9" width="10" style="19" customWidth="1"/>
    <col min="10" max="14" width="13.85546875" style="19" customWidth="1"/>
    <col min="15" max="16" width="10" style="19" customWidth="1"/>
    <col min="17" max="21" width="13.85546875" style="19" customWidth="1"/>
    <col min="22" max="23" width="10" style="19" customWidth="1"/>
    <col min="24" max="27" width="13.85546875" style="19" customWidth="1"/>
    <col min="28" max="28" width="14" style="19" customWidth="1"/>
    <col min="29" max="29" width="10" style="19" customWidth="1"/>
    <col min="30" max="35" width="13.85546875" style="19" customWidth="1"/>
    <col min="36" max="36" width="10" style="19" customWidth="1"/>
    <col min="37" max="37" width="35.42578125" style="19" customWidth="1"/>
    <col min="38" max="40" width="13.85546875" style="19" customWidth="1"/>
    <col min="41" max="43" width="19.28515625" style="19" customWidth="1"/>
    <col min="44" max="44" width="26.5703125" style="19" customWidth="1"/>
    <col min="45" max="16384" width="8.85546875" style="19"/>
  </cols>
  <sheetData>
    <row r="1" spans="2:44" ht="18.75" x14ac:dyDescent="0.3">
      <c r="B1" s="322" t="s">
        <v>229</v>
      </c>
      <c r="C1" s="87" t="s">
        <v>205</v>
      </c>
    </row>
    <row r="2" spans="2:44" x14ac:dyDescent="0.25">
      <c r="B2" s="5" t="str">
        <f>'Table of Contents'!B2</f>
        <v>Approved 2018 RTF Work Plan (October 10, 2017)</v>
      </c>
      <c r="J2" s="175"/>
      <c r="K2" s="175" t="s">
        <v>190</v>
      </c>
      <c r="L2" s="176">
        <f>L3+0.01</f>
        <v>2.5000000000000001E-2</v>
      </c>
      <c r="Q2" s="175"/>
      <c r="R2" s="175" t="s">
        <v>190</v>
      </c>
      <c r="S2" s="176">
        <f>$L$2</f>
        <v>2.5000000000000001E-2</v>
      </c>
      <c r="X2" s="175"/>
      <c r="Y2" s="175" t="s">
        <v>190</v>
      </c>
      <c r="Z2" s="176">
        <f>$L$2</f>
        <v>2.5000000000000001E-2</v>
      </c>
      <c r="AE2" s="175"/>
      <c r="AF2" s="175" t="s">
        <v>190</v>
      </c>
      <c r="AG2" s="176">
        <f>$L$2</f>
        <v>2.5000000000000001E-2</v>
      </c>
    </row>
    <row r="3" spans="2:44" x14ac:dyDescent="0.25">
      <c r="B3"/>
      <c r="J3" s="175"/>
      <c r="K3" s="175" t="s">
        <v>191</v>
      </c>
      <c r="L3" s="176">
        <v>1.4999999999999999E-2</v>
      </c>
      <c r="Q3" s="175"/>
      <c r="R3" s="175" t="s">
        <v>191</v>
      </c>
      <c r="S3" s="176">
        <f>$L$3</f>
        <v>1.4999999999999999E-2</v>
      </c>
      <c r="X3" s="175"/>
      <c r="Y3" s="175" t="s">
        <v>191</v>
      </c>
      <c r="Z3" s="176">
        <f>$L$3</f>
        <v>1.4999999999999999E-2</v>
      </c>
      <c r="AB3" s="88"/>
      <c r="AC3" s="88"/>
      <c r="AD3" s="88"/>
      <c r="AE3" s="175"/>
      <c r="AF3" s="175" t="s">
        <v>191</v>
      </c>
      <c r="AG3" s="176">
        <f>$L$3</f>
        <v>1.4999999999999999E-2</v>
      </c>
    </row>
    <row r="4" spans="2:44" x14ac:dyDescent="0.25">
      <c r="C4" s="442" t="s">
        <v>237</v>
      </c>
      <c r="D4" s="443"/>
      <c r="E4" s="443"/>
      <c r="F4" s="443"/>
      <c r="G4" s="443"/>
      <c r="J4" s="442" t="s">
        <v>256</v>
      </c>
      <c r="K4" s="443"/>
      <c r="L4" s="443"/>
      <c r="M4" s="443"/>
      <c r="N4" s="444"/>
      <c r="Q4" s="442" t="s">
        <v>283</v>
      </c>
      <c r="R4" s="443"/>
      <c r="S4" s="443"/>
      <c r="T4" s="443"/>
      <c r="U4" s="443"/>
      <c r="X4" s="442" t="s">
        <v>308</v>
      </c>
      <c r="Y4" s="443"/>
      <c r="Z4" s="443"/>
      <c r="AA4" s="443"/>
      <c r="AB4" s="443"/>
      <c r="AC4" s="292"/>
      <c r="AE4" s="445" t="s">
        <v>192</v>
      </c>
      <c r="AF4" s="443"/>
      <c r="AG4" s="443"/>
      <c r="AH4" s="443"/>
      <c r="AI4" s="443"/>
    </row>
    <row r="5" spans="2:44" ht="47.25" x14ac:dyDescent="0.25">
      <c r="B5" s="47" t="s">
        <v>47</v>
      </c>
      <c r="C5" s="48" t="s">
        <v>148</v>
      </c>
      <c r="D5" s="282" t="s">
        <v>207</v>
      </c>
      <c r="E5" s="49" t="s">
        <v>150</v>
      </c>
      <c r="F5" s="89" t="s">
        <v>66</v>
      </c>
      <c r="G5" s="52" t="s">
        <v>123</v>
      </c>
      <c r="I5" s="48" t="s">
        <v>91</v>
      </c>
      <c r="J5" s="48" t="s">
        <v>148</v>
      </c>
      <c r="K5" s="48" t="str">
        <f>D5</f>
        <v>Contract Analyst Team</v>
      </c>
      <c r="L5" s="49" t="s">
        <v>150</v>
      </c>
      <c r="M5" s="49" t="s">
        <v>66</v>
      </c>
      <c r="N5" s="50" t="s">
        <v>123</v>
      </c>
      <c r="P5" s="48" t="s">
        <v>91</v>
      </c>
      <c r="Q5" s="48" t="s">
        <v>148</v>
      </c>
      <c r="R5" s="282" t="s">
        <v>207</v>
      </c>
      <c r="S5" s="49" t="s">
        <v>150</v>
      </c>
      <c r="T5" s="89" t="s">
        <v>66</v>
      </c>
      <c r="U5" s="52" t="s">
        <v>123</v>
      </c>
      <c r="W5" s="48" t="s">
        <v>91</v>
      </c>
      <c r="X5" s="48" t="s">
        <v>148</v>
      </c>
      <c r="Y5" s="282" t="s">
        <v>207</v>
      </c>
      <c r="Z5" s="49" t="s">
        <v>150</v>
      </c>
      <c r="AA5" s="89" t="s">
        <v>66</v>
      </c>
      <c r="AB5" s="52" t="s">
        <v>123</v>
      </c>
      <c r="AD5" s="48" t="s">
        <v>91</v>
      </c>
      <c r="AE5" s="48" t="s">
        <v>148</v>
      </c>
      <c r="AF5" s="48" t="s">
        <v>152</v>
      </c>
      <c r="AG5" s="49" t="s">
        <v>150</v>
      </c>
      <c r="AH5" s="89" t="s">
        <v>66</v>
      </c>
      <c r="AI5" s="52" t="s">
        <v>123</v>
      </c>
      <c r="AK5" s="47" t="s">
        <v>193</v>
      </c>
      <c r="AL5" s="48">
        <v>2015</v>
      </c>
      <c r="AM5" s="48" t="s">
        <v>194</v>
      </c>
      <c r="AN5" s="48" t="s">
        <v>195</v>
      </c>
      <c r="AO5" s="449" t="s">
        <v>93</v>
      </c>
      <c r="AP5" s="449"/>
      <c r="AQ5" s="449"/>
      <c r="AR5" s="449"/>
    </row>
    <row r="6" spans="2:44" ht="38.25" customHeight="1" x14ac:dyDescent="0.25">
      <c r="B6" s="53" t="s">
        <v>50</v>
      </c>
      <c r="C6" s="54">
        <v>112500</v>
      </c>
      <c r="D6" s="54">
        <v>428000</v>
      </c>
      <c r="E6" s="54">
        <v>0</v>
      </c>
      <c r="F6" s="287">
        <v>540500</v>
      </c>
      <c r="G6" s="59">
        <v>9600</v>
      </c>
      <c r="I6" s="291" t="s">
        <v>253</v>
      </c>
      <c r="J6" s="54">
        <v>127500</v>
      </c>
      <c r="K6" s="54">
        <v>325000</v>
      </c>
      <c r="L6" s="54">
        <v>0</v>
      </c>
      <c r="M6" s="287">
        <v>452500</v>
      </c>
      <c r="N6" s="59">
        <v>8400</v>
      </c>
      <c r="P6" s="310" t="s">
        <v>253</v>
      </c>
      <c r="Q6" s="54">
        <v>48000</v>
      </c>
      <c r="R6" s="54">
        <v>345000</v>
      </c>
      <c r="S6" s="54">
        <v>0</v>
      </c>
      <c r="T6" s="287">
        <v>393000</v>
      </c>
      <c r="U6" s="59">
        <v>14000</v>
      </c>
      <c r="W6" s="310" t="s">
        <v>253</v>
      </c>
      <c r="X6" s="54">
        <f>'Category (2018)'!C6</f>
        <v>76000</v>
      </c>
      <c r="Y6" s="54">
        <f>'Category (2018)'!D6</f>
        <v>391000</v>
      </c>
      <c r="Z6" s="54">
        <f>'Category (2018)'!E6</f>
        <v>0</v>
      </c>
      <c r="AA6" s="287">
        <f>SUM(X6:Z6)</f>
        <v>467000</v>
      </c>
      <c r="AB6" s="59">
        <f>'Category (2018)'!G6</f>
        <v>20000</v>
      </c>
      <c r="AD6" s="78">
        <v>1.004</v>
      </c>
      <c r="AE6" s="54">
        <f>ROUND(X6*$AD6*(1+$AG$2),-2)</f>
        <v>78200</v>
      </c>
      <c r="AF6" s="54">
        <f t="shared" ref="AF6:AI14" si="0">ROUND(Y6*$AD6*(1+$AG$2),-2)</f>
        <v>402400</v>
      </c>
      <c r="AG6" s="54">
        <f t="shared" si="0"/>
        <v>0</v>
      </c>
      <c r="AH6" s="287">
        <f t="shared" si="0"/>
        <v>480600</v>
      </c>
      <c r="AI6" s="59">
        <f t="shared" si="0"/>
        <v>20600</v>
      </c>
      <c r="AK6" s="246" t="s">
        <v>196</v>
      </c>
      <c r="AL6" s="247">
        <f>SUM(F6:F8)</f>
        <v>1049500</v>
      </c>
      <c r="AM6" s="247">
        <f>SUM(AH6:AH8)</f>
        <v>1033700</v>
      </c>
      <c r="AN6" s="247">
        <f>AM6-AL6</f>
        <v>-15800</v>
      </c>
      <c r="AO6" s="450" t="s">
        <v>309</v>
      </c>
      <c r="AP6" s="451"/>
      <c r="AQ6" s="451"/>
      <c r="AR6" s="452"/>
    </row>
    <row r="7" spans="2:44" ht="38.25" customHeight="1" x14ac:dyDescent="0.25">
      <c r="B7" s="53" t="s">
        <v>65</v>
      </c>
      <c r="C7" s="54">
        <v>90000</v>
      </c>
      <c r="D7" s="54">
        <v>310000</v>
      </c>
      <c r="E7" s="54">
        <v>0</v>
      </c>
      <c r="F7" s="287">
        <v>400000</v>
      </c>
      <c r="G7" s="59">
        <v>5100</v>
      </c>
      <c r="I7" s="291" t="s">
        <v>253</v>
      </c>
      <c r="J7" s="54">
        <v>88000</v>
      </c>
      <c r="K7" s="54">
        <v>240000</v>
      </c>
      <c r="L7" s="54">
        <v>0</v>
      </c>
      <c r="M7" s="287">
        <v>328000</v>
      </c>
      <c r="N7" s="59">
        <v>2700</v>
      </c>
      <c r="P7" s="310" t="s">
        <v>253</v>
      </c>
      <c r="Q7" s="54">
        <v>48000</v>
      </c>
      <c r="R7" s="54">
        <v>367500</v>
      </c>
      <c r="S7" s="54">
        <v>0</v>
      </c>
      <c r="T7" s="287">
        <v>415500</v>
      </c>
      <c r="U7" s="59">
        <v>12200</v>
      </c>
      <c r="W7" s="310" t="s">
        <v>253</v>
      </c>
      <c r="X7" s="54">
        <f>'Category (2018)'!C7</f>
        <v>58000</v>
      </c>
      <c r="Y7" s="54">
        <f>'Category (2018)'!D7</f>
        <v>286000</v>
      </c>
      <c r="Z7" s="54">
        <f>'Category (2018)'!E7</f>
        <v>0</v>
      </c>
      <c r="AA7" s="287">
        <f t="shared" ref="AA7:AA14" si="1">SUM(X7:Z7)</f>
        <v>344000</v>
      </c>
      <c r="AB7" s="59">
        <f>'Category (2018)'!G7</f>
        <v>11000</v>
      </c>
      <c r="AD7" s="310">
        <v>1.004</v>
      </c>
      <c r="AE7" s="54">
        <f t="shared" ref="AE7:AE14" si="2">ROUND(X7*$AD7*(1+$AG$2),-2)</f>
        <v>59700</v>
      </c>
      <c r="AF7" s="54">
        <f t="shared" si="0"/>
        <v>294300</v>
      </c>
      <c r="AG7" s="54">
        <f t="shared" si="0"/>
        <v>0</v>
      </c>
      <c r="AH7" s="287">
        <f t="shared" si="0"/>
        <v>354000</v>
      </c>
      <c r="AI7" s="59">
        <f t="shared" si="0"/>
        <v>11300</v>
      </c>
      <c r="AK7" s="246" t="s">
        <v>64</v>
      </c>
      <c r="AL7" s="247">
        <f>F9</f>
        <v>90500</v>
      </c>
      <c r="AM7" s="247">
        <f>AH9</f>
        <v>51300</v>
      </c>
      <c r="AN7" s="247">
        <f t="shared" ref="AN7:AN9" si="3">AM7-AL7</f>
        <v>-39200</v>
      </c>
      <c r="AO7" s="450" t="s">
        <v>310</v>
      </c>
      <c r="AP7" s="451"/>
      <c r="AQ7" s="451"/>
      <c r="AR7" s="452"/>
    </row>
    <row r="8" spans="2:44" ht="38.25" customHeight="1" x14ac:dyDescent="0.25">
      <c r="B8" s="53" t="s">
        <v>48</v>
      </c>
      <c r="C8" s="54">
        <v>25000</v>
      </c>
      <c r="D8" s="54">
        <v>84000</v>
      </c>
      <c r="E8" s="54">
        <v>0</v>
      </c>
      <c r="F8" s="287">
        <v>109000</v>
      </c>
      <c r="G8" s="59">
        <v>900</v>
      </c>
      <c r="I8" s="291" t="s">
        <v>253</v>
      </c>
      <c r="J8" s="54">
        <v>30000</v>
      </c>
      <c r="K8" s="54">
        <v>175000</v>
      </c>
      <c r="L8" s="54">
        <v>0</v>
      </c>
      <c r="M8" s="287">
        <v>205000</v>
      </c>
      <c r="N8" s="59">
        <v>500</v>
      </c>
      <c r="P8" s="310" t="s">
        <v>253</v>
      </c>
      <c r="Q8" s="54">
        <v>125000</v>
      </c>
      <c r="R8" s="54">
        <v>225000</v>
      </c>
      <c r="S8" s="54">
        <v>0</v>
      </c>
      <c r="T8" s="287">
        <v>350000</v>
      </c>
      <c r="U8" s="59">
        <v>12000</v>
      </c>
      <c r="W8" s="310" t="s">
        <v>253</v>
      </c>
      <c r="X8" s="54">
        <f>'Category (2018)'!C8</f>
        <v>28500</v>
      </c>
      <c r="Y8" s="54">
        <f>'Category (2018)'!D8</f>
        <v>165000</v>
      </c>
      <c r="Z8" s="54">
        <f>'Category (2018)'!E8</f>
        <v>0</v>
      </c>
      <c r="AA8" s="287">
        <f t="shared" si="1"/>
        <v>193500</v>
      </c>
      <c r="AB8" s="59">
        <f>'Category (2018)'!G8</f>
        <v>6000</v>
      </c>
      <c r="AD8" s="78">
        <v>1.004</v>
      </c>
      <c r="AE8" s="54">
        <f t="shared" si="2"/>
        <v>29300</v>
      </c>
      <c r="AF8" s="54">
        <f t="shared" si="0"/>
        <v>169800</v>
      </c>
      <c r="AG8" s="54">
        <f t="shared" si="0"/>
        <v>0</v>
      </c>
      <c r="AH8" s="287">
        <f t="shared" si="0"/>
        <v>199100</v>
      </c>
      <c r="AI8" s="59">
        <f t="shared" si="0"/>
        <v>6200</v>
      </c>
      <c r="AJ8" s="46"/>
      <c r="AK8" s="246" t="s">
        <v>197</v>
      </c>
      <c r="AL8" s="247">
        <f>SUM(F10:F11)</f>
        <v>177500</v>
      </c>
      <c r="AM8" s="247">
        <f>SUM(AH10:AH11)</f>
        <v>278700</v>
      </c>
      <c r="AN8" s="247">
        <f t="shared" si="3"/>
        <v>101200</v>
      </c>
      <c r="AO8" s="450" t="s">
        <v>311</v>
      </c>
      <c r="AP8" s="451"/>
      <c r="AQ8" s="451"/>
      <c r="AR8" s="452"/>
    </row>
    <row r="9" spans="2:44" ht="38.25" customHeight="1" x14ac:dyDescent="0.25">
      <c r="B9" s="60" t="s">
        <v>64</v>
      </c>
      <c r="C9" s="61">
        <v>10500</v>
      </c>
      <c r="D9" s="61">
        <v>80000</v>
      </c>
      <c r="E9" s="61">
        <v>0</v>
      </c>
      <c r="F9" s="288">
        <v>90500</v>
      </c>
      <c r="G9" s="65">
        <v>15000</v>
      </c>
      <c r="I9" s="291" t="s">
        <v>253</v>
      </c>
      <c r="J9" s="61">
        <v>10000</v>
      </c>
      <c r="K9" s="61">
        <v>60000</v>
      </c>
      <c r="L9" s="61">
        <v>0</v>
      </c>
      <c r="M9" s="288">
        <v>70000</v>
      </c>
      <c r="N9" s="65">
        <v>7000</v>
      </c>
      <c r="P9" s="310" t="s">
        <v>253</v>
      </c>
      <c r="Q9" s="61">
        <v>0</v>
      </c>
      <c r="R9" s="61">
        <v>20000</v>
      </c>
      <c r="S9" s="61">
        <v>0</v>
      </c>
      <c r="T9" s="288">
        <v>20000</v>
      </c>
      <c r="U9" s="65">
        <v>5000</v>
      </c>
      <c r="W9" s="310" t="s">
        <v>253</v>
      </c>
      <c r="X9" s="61">
        <f>'Category (2018)'!C9</f>
        <v>0</v>
      </c>
      <c r="Y9" s="61">
        <f>'Category (2018)'!D9</f>
        <v>50000</v>
      </c>
      <c r="Z9" s="61">
        <f>'Category (2018)'!E9</f>
        <v>0</v>
      </c>
      <c r="AA9" s="288">
        <f t="shared" si="1"/>
        <v>50000</v>
      </c>
      <c r="AB9" s="65">
        <f>'Category (2018)'!G9</f>
        <v>15000</v>
      </c>
      <c r="AD9" s="78">
        <v>1</v>
      </c>
      <c r="AE9" s="61">
        <f t="shared" si="2"/>
        <v>0</v>
      </c>
      <c r="AF9" s="61">
        <f t="shared" si="0"/>
        <v>51300</v>
      </c>
      <c r="AG9" s="61">
        <f t="shared" si="0"/>
        <v>0</v>
      </c>
      <c r="AH9" s="288">
        <f t="shared" si="0"/>
        <v>51300</v>
      </c>
      <c r="AI9" s="65">
        <f t="shared" si="0"/>
        <v>15400</v>
      </c>
      <c r="AJ9" s="46"/>
      <c r="AK9" s="246" t="s">
        <v>198</v>
      </c>
      <c r="AL9" s="247">
        <f>SUM(F12:F14)</f>
        <v>320100</v>
      </c>
      <c r="AM9" s="247">
        <f>SUM(AH12:AH14)</f>
        <v>511500</v>
      </c>
      <c r="AN9" s="247">
        <f t="shared" si="3"/>
        <v>191400</v>
      </c>
      <c r="AO9" s="450" t="s">
        <v>254</v>
      </c>
      <c r="AP9" s="451"/>
      <c r="AQ9" s="451"/>
      <c r="AR9" s="452"/>
    </row>
    <row r="10" spans="2:44" ht="38.25" customHeight="1" x14ac:dyDescent="0.25">
      <c r="B10" s="60" t="s">
        <v>26</v>
      </c>
      <c r="C10" s="61">
        <v>0</v>
      </c>
      <c r="D10" s="61">
        <v>40000</v>
      </c>
      <c r="E10" s="61">
        <v>0</v>
      </c>
      <c r="F10" s="288">
        <v>40000</v>
      </c>
      <c r="G10" s="65">
        <v>20000</v>
      </c>
      <c r="I10" s="291" t="s">
        <v>253</v>
      </c>
      <c r="J10" s="61">
        <v>0</v>
      </c>
      <c r="K10" s="61">
        <v>0</v>
      </c>
      <c r="L10" s="61">
        <v>0</v>
      </c>
      <c r="M10" s="288">
        <v>0</v>
      </c>
      <c r="N10" s="65">
        <v>0</v>
      </c>
      <c r="P10" s="310" t="s">
        <v>253</v>
      </c>
      <c r="Q10" s="61">
        <v>0</v>
      </c>
      <c r="R10" s="61">
        <v>0</v>
      </c>
      <c r="S10" s="61">
        <v>0</v>
      </c>
      <c r="T10" s="288">
        <v>0</v>
      </c>
      <c r="U10" s="65">
        <v>0</v>
      </c>
      <c r="W10" s="310" t="s">
        <v>253</v>
      </c>
      <c r="X10" s="61">
        <f>'Category (2018)'!C10</f>
        <v>0</v>
      </c>
      <c r="Y10" s="61">
        <f>'Category (2018)'!D10</f>
        <v>0</v>
      </c>
      <c r="Z10" s="61">
        <f>'Category (2018)'!E10</f>
        <v>0</v>
      </c>
      <c r="AA10" s="288">
        <f t="shared" si="1"/>
        <v>0</v>
      </c>
      <c r="AB10" s="65">
        <f>'Category (2018)'!G10</f>
        <v>0</v>
      </c>
      <c r="AD10" s="78">
        <v>0</v>
      </c>
      <c r="AE10" s="61">
        <f t="shared" si="2"/>
        <v>0</v>
      </c>
      <c r="AF10" s="61">
        <f t="shared" si="0"/>
        <v>0</v>
      </c>
      <c r="AG10" s="61">
        <f t="shared" si="0"/>
        <v>0</v>
      </c>
      <c r="AH10" s="288">
        <f t="shared" si="0"/>
        <v>0</v>
      </c>
      <c r="AI10" s="65">
        <f t="shared" si="0"/>
        <v>0</v>
      </c>
      <c r="AJ10" s="46"/>
      <c r="AK10" s="248" t="s">
        <v>103</v>
      </c>
      <c r="AL10" s="249">
        <f t="shared" ref="AL10:AM10" si="4">SUM(AL6:AL9)</f>
        <v>1637600</v>
      </c>
      <c r="AM10" s="249">
        <f t="shared" si="4"/>
        <v>1875200</v>
      </c>
      <c r="AN10" s="249">
        <f>SUM(AN6:AN9)</f>
        <v>237600</v>
      </c>
      <c r="AO10" s="446"/>
      <c r="AP10" s="447"/>
      <c r="AQ10" s="447"/>
      <c r="AR10" s="448"/>
    </row>
    <row r="11" spans="2:44" ht="38.25" customHeight="1" x14ac:dyDescent="0.25">
      <c r="B11" s="60" t="s">
        <v>70</v>
      </c>
      <c r="C11" s="61">
        <v>12500</v>
      </c>
      <c r="D11" s="61">
        <v>125000</v>
      </c>
      <c r="E11" s="61">
        <v>0</v>
      </c>
      <c r="F11" s="288">
        <v>137500</v>
      </c>
      <c r="G11" s="65">
        <v>4000</v>
      </c>
      <c r="I11" s="291" t="s">
        <v>253</v>
      </c>
      <c r="J11" s="61">
        <v>15000</v>
      </c>
      <c r="K11" s="61">
        <v>135000</v>
      </c>
      <c r="L11" s="61">
        <v>0</v>
      </c>
      <c r="M11" s="288">
        <v>150000</v>
      </c>
      <c r="N11" s="65">
        <v>9000</v>
      </c>
      <c r="P11" s="310" t="s">
        <v>253</v>
      </c>
      <c r="Q11" s="61">
        <v>20000</v>
      </c>
      <c r="R11" s="61">
        <v>115000</v>
      </c>
      <c r="S11" s="61">
        <v>0</v>
      </c>
      <c r="T11" s="288">
        <v>135000</v>
      </c>
      <c r="U11" s="65">
        <v>17000</v>
      </c>
      <c r="W11" s="310" t="s">
        <v>253</v>
      </c>
      <c r="X11" s="61">
        <f>'Category (2018)'!C11</f>
        <v>70000</v>
      </c>
      <c r="Y11" s="61">
        <f>'Category (2018)'!D11</f>
        <v>215000</v>
      </c>
      <c r="Z11" s="61">
        <f>'Category (2018)'!E11</f>
        <v>0</v>
      </c>
      <c r="AA11" s="288">
        <f t="shared" si="1"/>
        <v>285000</v>
      </c>
      <c r="AB11" s="65">
        <f>'Category (2018)'!G11</f>
        <v>21000</v>
      </c>
      <c r="AD11" s="78">
        <v>0.95399999999999996</v>
      </c>
      <c r="AE11" s="61">
        <f t="shared" si="2"/>
        <v>68400</v>
      </c>
      <c r="AF11" s="61">
        <f t="shared" si="0"/>
        <v>210200</v>
      </c>
      <c r="AG11" s="61">
        <f t="shared" si="0"/>
        <v>0</v>
      </c>
      <c r="AH11" s="288">
        <f t="shared" si="0"/>
        <v>278700</v>
      </c>
      <c r="AI11" s="65">
        <f t="shared" si="0"/>
        <v>20500</v>
      </c>
      <c r="AJ11" s="46"/>
      <c r="AK11" s="46"/>
      <c r="AL11" s="46"/>
    </row>
    <row r="12" spans="2:44" ht="38.25" customHeight="1" x14ac:dyDescent="0.25">
      <c r="B12" s="66" t="s">
        <v>46</v>
      </c>
      <c r="C12" s="177">
        <v>20000</v>
      </c>
      <c r="D12" s="177">
        <v>20000</v>
      </c>
      <c r="E12" s="177">
        <v>0</v>
      </c>
      <c r="F12" s="289">
        <v>40000</v>
      </c>
      <c r="G12" s="179">
        <v>55000</v>
      </c>
      <c r="I12" s="291" t="s">
        <v>253</v>
      </c>
      <c r="J12" s="177">
        <v>60000</v>
      </c>
      <c r="K12" s="177">
        <v>20000</v>
      </c>
      <c r="L12" s="177">
        <v>0</v>
      </c>
      <c r="M12" s="289">
        <v>80000</v>
      </c>
      <c r="N12" s="179">
        <v>18000</v>
      </c>
      <c r="P12" s="310" t="s">
        <v>253</v>
      </c>
      <c r="Q12" s="177">
        <v>70000</v>
      </c>
      <c r="R12" s="177">
        <v>10000</v>
      </c>
      <c r="S12" s="177">
        <v>0</v>
      </c>
      <c r="T12" s="289">
        <v>80000</v>
      </c>
      <c r="U12" s="179">
        <v>35000</v>
      </c>
      <c r="W12" s="310" t="s">
        <v>253</v>
      </c>
      <c r="X12" s="177">
        <f>'Category (2018)'!C12</f>
        <v>65000</v>
      </c>
      <c r="Y12" s="177">
        <f>'Category (2018)'!D12</f>
        <v>10000</v>
      </c>
      <c r="Z12" s="177">
        <f>'Category (2018)'!E12</f>
        <v>0</v>
      </c>
      <c r="AA12" s="289">
        <f t="shared" si="1"/>
        <v>75000</v>
      </c>
      <c r="AB12" s="179">
        <f>'Category (2018)'!G12</f>
        <v>45000</v>
      </c>
      <c r="AD12" s="78">
        <v>1.004</v>
      </c>
      <c r="AE12" s="177">
        <f t="shared" si="2"/>
        <v>66900</v>
      </c>
      <c r="AF12" s="177">
        <f t="shared" si="0"/>
        <v>10300</v>
      </c>
      <c r="AG12" s="177">
        <f t="shared" si="0"/>
        <v>0</v>
      </c>
      <c r="AH12" s="289">
        <f t="shared" si="0"/>
        <v>77200</v>
      </c>
      <c r="AI12" s="179">
        <f t="shared" si="0"/>
        <v>46300</v>
      </c>
      <c r="AK12" s="250"/>
    </row>
    <row r="13" spans="2:44" ht="38.25" customHeight="1" x14ac:dyDescent="0.25">
      <c r="B13" s="66" t="s">
        <v>18</v>
      </c>
      <c r="C13" s="177">
        <v>146800</v>
      </c>
      <c r="D13" s="177">
        <v>0</v>
      </c>
      <c r="E13" s="177">
        <v>0</v>
      </c>
      <c r="F13" s="289">
        <v>146800</v>
      </c>
      <c r="G13" s="179">
        <v>5000</v>
      </c>
      <c r="I13" s="291" t="s">
        <v>253</v>
      </c>
      <c r="J13" s="177">
        <v>169200</v>
      </c>
      <c r="K13" s="177">
        <v>65000</v>
      </c>
      <c r="L13" s="177">
        <v>0</v>
      </c>
      <c r="M13" s="289">
        <v>234200</v>
      </c>
      <c r="N13" s="179">
        <v>25000</v>
      </c>
      <c r="P13" s="310" t="s">
        <v>253</v>
      </c>
      <c r="Q13" s="177">
        <v>165000</v>
      </c>
      <c r="R13" s="177">
        <v>75000</v>
      </c>
      <c r="S13" s="177">
        <v>0</v>
      </c>
      <c r="T13" s="289">
        <v>240000</v>
      </c>
      <c r="U13" s="179">
        <v>10000</v>
      </c>
      <c r="W13" s="310" t="s">
        <v>253</v>
      </c>
      <c r="X13" s="177">
        <f>'Category (2018)'!C13</f>
        <v>186900</v>
      </c>
      <c r="Y13" s="177">
        <f>'Category (2018)'!D13</f>
        <v>75000</v>
      </c>
      <c r="Z13" s="177">
        <f>'Category (2018)'!E13</f>
        <v>0</v>
      </c>
      <c r="AA13" s="289">
        <f t="shared" si="1"/>
        <v>261900</v>
      </c>
      <c r="AB13" s="179">
        <f>'Category (2018)'!G13</f>
        <v>10000</v>
      </c>
      <c r="AD13" s="78">
        <v>1.004</v>
      </c>
      <c r="AE13" s="177">
        <f t="shared" si="2"/>
        <v>192300</v>
      </c>
      <c r="AF13" s="177">
        <f t="shared" si="0"/>
        <v>77200</v>
      </c>
      <c r="AG13" s="177">
        <f t="shared" si="0"/>
        <v>0</v>
      </c>
      <c r="AH13" s="289">
        <f t="shared" si="0"/>
        <v>269500</v>
      </c>
      <c r="AI13" s="179">
        <f t="shared" si="0"/>
        <v>10300</v>
      </c>
      <c r="AK13" s="250"/>
    </row>
    <row r="14" spans="2:44" ht="38.25" customHeight="1" x14ac:dyDescent="0.25">
      <c r="B14" s="66" t="s">
        <v>49</v>
      </c>
      <c r="C14" s="177">
        <v>8300</v>
      </c>
      <c r="D14" s="177">
        <v>0</v>
      </c>
      <c r="E14" s="177">
        <v>125000</v>
      </c>
      <c r="F14" s="289">
        <v>133300</v>
      </c>
      <c r="G14" s="179">
        <v>87000</v>
      </c>
      <c r="I14" s="291" t="s">
        <v>253</v>
      </c>
      <c r="J14" s="177">
        <v>8300</v>
      </c>
      <c r="K14" s="177">
        <v>0</v>
      </c>
      <c r="L14" s="177">
        <v>135000</v>
      </c>
      <c r="M14" s="289">
        <v>143300</v>
      </c>
      <c r="N14" s="179">
        <v>77500</v>
      </c>
      <c r="P14" s="310" t="s">
        <v>253</v>
      </c>
      <c r="Q14" s="177">
        <v>4300</v>
      </c>
      <c r="R14" s="177">
        <v>5000</v>
      </c>
      <c r="S14" s="177">
        <v>147000</v>
      </c>
      <c r="T14" s="289">
        <v>156300</v>
      </c>
      <c r="U14" s="179">
        <v>99000</v>
      </c>
      <c r="W14" s="310" t="s">
        <v>253</v>
      </c>
      <c r="X14" s="177">
        <f>'Category (2018)'!C14</f>
        <v>4300</v>
      </c>
      <c r="Y14" s="177">
        <f>'Category (2018)'!D14</f>
        <v>0</v>
      </c>
      <c r="Z14" s="177">
        <f>'Category (2018)'!E14</f>
        <v>153000</v>
      </c>
      <c r="AA14" s="289">
        <f t="shared" si="1"/>
        <v>157300</v>
      </c>
      <c r="AB14" s="179">
        <f>'Category (2018)'!G14</f>
        <v>66500</v>
      </c>
      <c r="AD14" s="78">
        <v>1.022</v>
      </c>
      <c r="AE14" s="177">
        <f t="shared" si="2"/>
        <v>4500</v>
      </c>
      <c r="AF14" s="177">
        <f t="shared" si="0"/>
        <v>0</v>
      </c>
      <c r="AG14" s="177">
        <f t="shared" si="0"/>
        <v>160300</v>
      </c>
      <c r="AH14" s="289">
        <f t="shared" si="0"/>
        <v>164800</v>
      </c>
      <c r="AI14" s="179">
        <f t="shared" si="0"/>
        <v>69700</v>
      </c>
      <c r="AK14" s="250"/>
    </row>
    <row r="15" spans="2:44" ht="38.25" customHeight="1" x14ac:dyDescent="0.25">
      <c r="B15" s="284" t="s">
        <v>19</v>
      </c>
      <c r="C15" s="285">
        <f>SUM(C6:C14)</f>
        <v>425600</v>
      </c>
      <c r="D15" s="285">
        <f t="shared" ref="D15:E15" si="5">SUM(D6:D14)</f>
        <v>1087000</v>
      </c>
      <c r="E15" s="285">
        <f t="shared" si="5"/>
        <v>125000</v>
      </c>
      <c r="F15" s="290">
        <f>SUM(F6:F14)</f>
        <v>1637600</v>
      </c>
      <c r="G15" s="286">
        <f t="shared" ref="G15" si="6">SUM(G6:G14)</f>
        <v>201600</v>
      </c>
      <c r="J15" s="317">
        <f>SUM(J6:J14)</f>
        <v>508000</v>
      </c>
      <c r="K15" s="317">
        <f t="shared" ref="K15:N15" si="7">SUM(K6:K14)</f>
        <v>1020000</v>
      </c>
      <c r="L15" s="317">
        <f t="shared" si="7"/>
        <v>135000</v>
      </c>
      <c r="M15" s="318">
        <f t="shared" si="7"/>
        <v>1663000</v>
      </c>
      <c r="N15" s="319">
        <f t="shared" si="7"/>
        <v>148100</v>
      </c>
      <c r="Q15" s="70">
        <f>SUM(Q6:Q14)</f>
        <v>480300</v>
      </c>
      <c r="R15" s="70">
        <f t="shared" ref="R15:U15" si="8">SUM(R6:R14)</f>
        <v>1162500</v>
      </c>
      <c r="S15" s="70">
        <f t="shared" si="8"/>
        <v>147000</v>
      </c>
      <c r="T15" s="90">
        <f t="shared" si="8"/>
        <v>1789800</v>
      </c>
      <c r="U15" s="75">
        <f t="shared" si="8"/>
        <v>204200</v>
      </c>
      <c r="X15" s="70">
        <f>SUM(X6:X14)</f>
        <v>488700</v>
      </c>
      <c r="Y15" s="70">
        <f t="shared" ref="Y15" si="9">SUM(Y6:Y14)</f>
        <v>1192000</v>
      </c>
      <c r="Z15" s="70">
        <f t="shared" ref="Z15:AB15" si="10">SUM(Z6:Z14)</f>
        <v>153000</v>
      </c>
      <c r="AA15" s="90">
        <f t="shared" si="10"/>
        <v>1833700</v>
      </c>
      <c r="AB15" s="75">
        <f t="shared" si="10"/>
        <v>194500</v>
      </c>
      <c r="AE15" s="70">
        <f>SUM(AE6:AE14)</f>
        <v>499300</v>
      </c>
      <c r="AF15" s="70">
        <f t="shared" ref="AF15:AI15" si="11">SUM(AF6:AF14)</f>
        <v>1215500</v>
      </c>
      <c r="AG15" s="70">
        <f t="shared" si="11"/>
        <v>160300</v>
      </c>
      <c r="AH15" s="90">
        <f t="shared" si="11"/>
        <v>1875200</v>
      </c>
      <c r="AI15" s="75">
        <f t="shared" si="11"/>
        <v>200300</v>
      </c>
    </row>
    <row r="16" spans="2:44" x14ac:dyDescent="0.25">
      <c r="B16" s="91" t="s">
        <v>28</v>
      </c>
      <c r="C16" s="92"/>
      <c r="D16" s="93">
        <f>'Category Detail (2018)'!B84</f>
        <v>6.4830997048521724</v>
      </c>
      <c r="E16" s="283">
        <v>1</v>
      </c>
      <c r="F16" s="94"/>
      <c r="G16" s="95">
        <f>'Category Detail (2018)'!B85</f>
        <v>1.0578547756658956</v>
      </c>
      <c r="J16" s="91" t="s">
        <v>28</v>
      </c>
      <c r="K16" s="93">
        <f>K15/('[1]NPCC In Kind'!$K$2*(1+L2))</f>
        <v>6.2195121951219514</v>
      </c>
      <c r="L16" s="283">
        <v>1</v>
      </c>
      <c r="M16" s="251"/>
      <c r="N16" s="93">
        <f>N15/('[1]NPCC In Kind'!$K$2*(1+N2))</f>
        <v>0.92562500000000003</v>
      </c>
      <c r="Q16" s="91" t="s">
        <v>28</v>
      </c>
      <c r="R16" s="93">
        <f>R15/('[1]NPCC In Kind'!$K$2*(1+S2))</f>
        <v>7.0884146341463419</v>
      </c>
      <c r="S16" s="93">
        <f>S15/('[1]NPCC In Kind'!$K$2*(1+T2))</f>
        <v>0.91874999999999996</v>
      </c>
      <c r="T16" s="93"/>
      <c r="U16" s="93">
        <f>U15/('[1]NPCC In Kind'!$K$2*(1+V2))</f>
        <v>1.2762500000000001</v>
      </c>
      <c r="X16" s="91" t="s">
        <v>28</v>
      </c>
      <c r="Y16" s="93">
        <f>Y15/('[1]NPCC In Kind'!$K$2*(1+Z2))</f>
        <v>7.2682926829268295</v>
      </c>
      <c r="Z16" s="93">
        <f>Z15/('[1]NPCC In Kind'!$K$2*(1+AA2))</f>
        <v>0.95625000000000004</v>
      </c>
      <c r="AA16" s="251"/>
      <c r="AB16" s="93">
        <f>AB15/('[1]NPCC In Kind'!$K$2*(1+AB2))</f>
        <v>1.215625</v>
      </c>
      <c r="AE16" s="91" t="s">
        <v>28</v>
      </c>
      <c r="AF16" s="93">
        <f>AF15/('[1]NPCC In Kind'!$K$2*(1+AG2))</f>
        <v>7.4115853658536581</v>
      </c>
      <c r="AG16" s="93">
        <f>AG15/('[1]NPCC In Kind'!$K$2*(1+AH2))</f>
        <v>1.0018750000000001</v>
      </c>
      <c r="AH16" s="93"/>
      <c r="AI16" s="93">
        <f>AI15/('[1]NPCC In Kind'!$K$2*(1+AJ2))</f>
        <v>1.2518750000000001</v>
      </c>
    </row>
    <row r="17" spans="2:35" x14ac:dyDescent="0.25">
      <c r="J17" s="252"/>
      <c r="K17" s="253"/>
      <c r="N17" s="46"/>
      <c r="P17" s="252"/>
      <c r="Q17" s="253"/>
      <c r="S17" s="281"/>
      <c r="T17" s="311"/>
      <c r="U17" s="46"/>
      <c r="V17" s="252"/>
      <c r="W17" s="253"/>
      <c r="Z17" s="281"/>
      <c r="AA17" s="337"/>
      <c r="AB17" s="252"/>
      <c r="AC17" s="253"/>
      <c r="AG17" s="281" t="s">
        <v>270</v>
      </c>
      <c r="AH17" s="320">
        <v>1875200</v>
      </c>
      <c r="AI17" s="46"/>
    </row>
    <row r="18" spans="2:35" ht="47.25" x14ac:dyDescent="0.25">
      <c r="C18" s="48" t="s">
        <v>148</v>
      </c>
      <c r="D18" s="282" t="s">
        <v>207</v>
      </c>
      <c r="E18" s="282" t="s">
        <v>150</v>
      </c>
      <c r="F18" s="48" t="s">
        <v>66</v>
      </c>
      <c r="G18" s="48" t="s">
        <v>144</v>
      </c>
      <c r="K18" s="46"/>
      <c r="M18" s="294"/>
      <c r="N18" s="294"/>
      <c r="O18" s="294"/>
      <c r="P18" s="294"/>
      <c r="Q18" s="294"/>
      <c r="R18" s="294"/>
      <c r="S18" s="312"/>
      <c r="T18" s="311"/>
      <c r="U18" s="294"/>
      <c r="V18" s="294"/>
      <c r="W18" s="294"/>
      <c r="X18" s="294"/>
      <c r="Y18" s="294"/>
      <c r="Z18" s="312"/>
      <c r="AA18" s="321"/>
      <c r="AB18" s="294"/>
      <c r="AC18" s="294"/>
      <c r="AD18" s="294"/>
      <c r="AE18" s="294"/>
      <c r="AF18" s="294"/>
      <c r="AG18" s="312"/>
      <c r="AH18" s="321"/>
    </row>
    <row r="19" spans="2:35" x14ac:dyDescent="0.25">
      <c r="B19" s="293" t="s">
        <v>137</v>
      </c>
      <c r="C19" s="97">
        <f>C15</f>
        <v>425600</v>
      </c>
      <c r="D19" s="97">
        <f>D15</f>
        <v>1087000</v>
      </c>
      <c r="E19" s="97">
        <f>E15</f>
        <v>125000</v>
      </c>
      <c r="F19" s="97">
        <f>F15</f>
        <v>1637600</v>
      </c>
      <c r="G19" s="97">
        <f>G15</f>
        <v>201600</v>
      </c>
    </row>
    <row r="20" spans="2:35" x14ac:dyDescent="0.25">
      <c r="B20" s="293" t="s">
        <v>153</v>
      </c>
      <c r="C20" s="97">
        <f>J15</f>
        <v>508000</v>
      </c>
      <c r="D20" s="97">
        <f t="shared" ref="D20:E20" si="12">K15</f>
        <v>1020000</v>
      </c>
      <c r="E20" s="97">
        <f t="shared" si="12"/>
        <v>135000</v>
      </c>
      <c r="F20" s="97">
        <f>M15</f>
        <v>1663000</v>
      </c>
      <c r="G20" s="97">
        <f>N15</f>
        <v>148100</v>
      </c>
      <c r="AA20" s="46"/>
    </row>
    <row r="21" spans="2:35" x14ac:dyDescent="0.25">
      <c r="B21" s="293" t="s">
        <v>199</v>
      </c>
      <c r="C21" s="97">
        <f>Q15</f>
        <v>480300</v>
      </c>
      <c r="D21" s="97">
        <f>R15</f>
        <v>1162500</v>
      </c>
      <c r="E21" s="97">
        <f>S15</f>
        <v>147000</v>
      </c>
      <c r="F21" s="97">
        <f>T15</f>
        <v>1789800</v>
      </c>
      <c r="G21" s="97">
        <f>U15</f>
        <v>204200</v>
      </c>
    </row>
    <row r="22" spans="2:35" x14ac:dyDescent="0.25">
      <c r="B22" s="293" t="s">
        <v>200</v>
      </c>
      <c r="C22" s="97">
        <f>X15</f>
        <v>488700</v>
      </c>
      <c r="D22" s="97">
        <f>Y15</f>
        <v>1192000</v>
      </c>
      <c r="E22" s="97">
        <f>Z15</f>
        <v>153000</v>
      </c>
      <c r="F22" s="97">
        <f>AA15</f>
        <v>1833700</v>
      </c>
      <c r="G22" s="97">
        <f>AB15</f>
        <v>194500</v>
      </c>
    </row>
    <row r="23" spans="2:35" x14ac:dyDescent="0.25">
      <c r="B23" s="295" t="s">
        <v>201</v>
      </c>
      <c r="C23" s="97">
        <f>AE15</f>
        <v>499300</v>
      </c>
      <c r="D23" s="97">
        <f>AF15</f>
        <v>1215500</v>
      </c>
      <c r="E23" s="97">
        <f>AG15</f>
        <v>160300</v>
      </c>
      <c r="F23" s="97">
        <f>AH15</f>
        <v>1875200</v>
      </c>
      <c r="G23" s="97">
        <f>AI15</f>
        <v>200300</v>
      </c>
    </row>
    <row r="26" spans="2:35" x14ac:dyDescent="0.25">
      <c r="B26" s="92"/>
      <c r="C26" s="48" t="s">
        <v>137</v>
      </c>
      <c r="D26" s="48" t="s">
        <v>153</v>
      </c>
      <c r="E26" s="48" t="s">
        <v>199</v>
      </c>
      <c r="F26" s="48" t="s">
        <v>200</v>
      </c>
      <c r="G26" s="48" t="s">
        <v>201</v>
      </c>
    </row>
    <row r="27" spans="2:35" x14ac:dyDescent="0.25">
      <c r="B27" s="96" t="s">
        <v>148</v>
      </c>
      <c r="C27" s="98">
        <f>C19</f>
        <v>425600</v>
      </c>
      <c r="D27" s="98">
        <f>C20</f>
        <v>508000</v>
      </c>
      <c r="E27" s="98">
        <f>C21</f>
        <v>480300</v>
      </c>
      <c r="F27" s="98">
        <f>C22</f>
        <v>488700</v>
      </c>
      <c r="G27" s="98">
        <f>C23</f>
        <v>499300</v>
      </c>
    </row>
    <row r="28" spans="2:35" x14ac:dyDescent="0.25">
      <c r="B28" s="293" t="s">
        <v>207</v>
      </c>
      <c r="C28" s="98">
        <f>D19</f>
        <v>1087000</v>
      </c>
      <c r="D28" s="98">
        <f>D20</f>
        <v>1020000</v>
      </c>
      <c r="E28" s="98">
        <f>D21</f>
        <v>1162500</v>
      </c>
      <c r="F28" s="98">
        <f>D22</f>
        <v>1192000</v>
      </c>
      <c r="G28" s="98">
        <f>D23</f>
        <v>1215500</v>
      </c>
    </row>
    <row r="29" spans="2:35" x14ac:dyDescent="0.25">
      <c r="B29" s="293" t="s">
        <v>150</v>
      </c>
      <c r="C29" s="98">
        <f>E19</f>
        <v>125000</v>
      </c>
      <c r="D29" s="98">
        <f>E20</f>
        <v>135000</v>
      </c>
      <c r="E29" s="98">
        <f>E21</f>
        <v>147000</v>
      </c>
      <c r="F29" s="98">
        <f>E22</f>
        <v>153000</v>
      </c>
      <c r="G29" s="98">
        <f>E23</f>
        <v>160300</v>
      </c>
    </row>
    <row r="30" spans="2:35" x14ac:dyDescent="0.25">
      <c r="B30" s="96" t="s">
        <v>66</v>
      </c>
      <c r="C30" s="98">
        <f>F19</f>
        <v>1637600</v>
      </c>
      <c r="D30" s="98">
        <f>F20</f>
        <v>1663000</v>
      </c>
      <c r="E30" s="98">
        <f>F21</f>
        <v>1789800</v>
      </c>
      <c r="F30" s="98">
        <f>F22</f>
        <v>1833700</v>
      </c>
      <c r="G30" s="98">
        <f>F23</f>
        <v>1875200</v>
      </c>
    </row>
    <row r="31" spans="2:35" x14ac:dyDescent="0.25">
      <c r="B31" s="96" t="s">
        <v>67</v>
      </c>
      <c r="C31" s="98">
        <f>G19</f>
        <v>201600</v>
      </c>
      <c r="D31" s="98">
        <f>G20</f>
        <v>148100</v>
      </c>
      <c r="E31" s="98">
        <f>G21</f>
        <v>204200</v>
      </c>
      <c r="F31" s="98">
        <f>G22</f>
        <v>194500</v>
      </c>
      <c r="G31" s="98">
        <f>G23</f>
        <v>200300</v>
      </c>
    </row>
    <row r="32" spans="2:35" x14ac:dyDescent="0.25">
      <c r="B32" s="96" t="s">
        <v>124</v>
      </c>
      <c r="C32" s="99">
        <f>G16</f>
        <v>1.0578547756658956</v>
      </c>
      <c r="D32" s="99">
        <f>N16</f>
        <v>0.92562500000000003</v>
      </c>
      <c r="E32" s="99">
        <f>U16</f>
        <v>1.2762500000000001</v>
      </c>
      <c r="F32" s="99">
        <f>AB16</f>
        <v>1.215625</v>
      </c>
      <c r="G32" s="99">
        <f>AI16</f>
        <v>1.2518750000000001</v>
      </c>
    </row>
    <row r="35" spans="2:7" x14ac:dyDescent="0.25">
      <c r="B35" s="100" t="s">
        <v>66</v>
      </c>
      <c r="C35" s="282" t="s">
        <v>137</v>
      </c>
      <c r="D35" s="282" t="s">
        <v>153</v>
      </c>
      <c r="E35" s="282" t="s">
        <v>199</v>
      </c>
      <c r="F35" s="282" t="s">
        <v>200</v>
      </c>
      <c r="G35" s="282" t="s">
        <v>201</v>
      </c>
    </row>
    <row r="36" spans="2:7" x14ac:dyDescent="0.25">
      <c r="B36" s="101" t="s">
        <v>125</v>
      </c>
      <c r="C36" s="102">
        <f>SUM(F6:F8)</f>
        <v>1049500</v>
      </c>
      <c r="D36" s="102">
        <f>SUM(M6:M8)</f>
        <v>985500</v>
      </c>
      <c r="E36" s="102">
        <f>SUM(T6:T8)</f>
        <v>1158500</v>
      </c>
      <c r="F36" s="102">
        <f>SUM(AA6:AA8)</f>
        <v>1004500</v>
      </c>
      <c r="G36" s="102">
        <f>SUM(AH6:AH8)</f>
        <v>1033700</v>
      </c>
    </row>
    <row r="37" spans="2:7" x14ac:dyDescent="0.25">
      <c r="B37" s="103" t="s">
        <v>126</v>
      </c>
      <c r="C37" s="104">
        <f>SUM(F9:F11)</f>
        <v>268000</v>
      </c>
      <c r="D37" s="104">
        <f>SUM(M9:M11)</f>
        <v>220000</v>
      </c>
      <c r="E37" s="104">
        <f>SUM(T9:T11)</f>
        <v>155000</v>
      </c>
      <c r="F37" s="104">
        <f>SUM(AA9:AA11)</f>
        <v>335000</v>
      </c>
      <c r="G37" s="104">
        <f>SUM(AH9:AH11)</f>
        <v>330000</v>
      </c>
    </row>
    <row r="38" spans="2:7" x14ac:dyDescent="0.25">
      <c r="B38" s="105" t="s">
        <v>49</v>
      </c>
      <c r="C38" s="106">
        <f>SUM(F12:F14)</f>
        <v>320100</v>
      </c>
      <c r="D38" s="106">
        <f>SUM(M12:M14)</f>
        <v>457500</v>
      </c>
      <c r="E38" s="106">
        <f>SUM(T12:T14)</f>
        <v>476300</v>
      </c>
      <c r="F38" s="106">
        <f>SUM(AA12:AA14)</f>
        <v>494200</v>
      </c>
      <c r="G38" s="106">
        <f>SUM(AH12:AH14)</f>
        <v>511500</v>
      </c>
    </row>
    <row r="39" spans="2:7" x14ac:dyDescent="0.25">
      <c r="B39" s="107" t="s">
        <v>103</v>
      </c>
      <c r="C39" s="108">
        <f>SUM(C36:C38)</f>
        <v>1637600</v>
      </c>
      <c r="D39" s="108">
        <f t="shared" ref="D39:G39" si="13">SUM(D36:D38)</f>
        <v>1663000</v>
      </c>
      <c r="E39" s="108">
        <f t="shared" si="13"/>
        <v>1789800</v>
      </c>
      <c r="F39" s="108">
        <f t="shared" si="13"/>
        <v>1833700</v>
      </c>
      <c r="G39" s="108">
        <f t="shared" si="13"/>
        <v>1875200</v>
      </c>
    </row>
    <row r="42" spans="2:7" x14ac:dyDescent="0.25">
      <c r="B42" s="100" t="s">
        <v>127</v>
      </c>
      <c r="C42" s="282" t="s">
        <v>137</v>
      </c>
      <c r="D42" s="282" t="s">
        <v>153</v>
      </c>
      <c r="E42" s="282" t="s">
        <v>199</v>
      </c>
      <c r="F42" s="282" t="s">
        <v>200</v>
      </c>
      <c r="G42" s="282" t="s">
        <v>201</v>
      </c>
    </row>
    <row r="43" spans="2:7" x14ac:dyDescent="0.25">
      <c r="B43" s="101" t="s">
        <v>125</v>
      </c>
      <c r="C43" s="102">
        <f>SUM(F6:G8)</f>
        <v>1065100</v>
      </c>
      <c r="D43" s="102">
        <f>SUM(M6:N8)</f>
        <v>997100</v>
      </c>
      <c r="E43" s="102">
        <f>SUM(T6:U8)</f>
        <v>1196700</v>
      </c>
      <c r="F43" s="102">
        <f>SUM(AA6:AB8)</f>
        <v>1041500</v>
      </c>
      <c r="G43" s="102">
        <f>SUM(AH6:AI8)</f>
        <v>1071800</v>
      </c>
    </row>
    <row r="44" spans="2:7" x14ac:dyDescent="0.25">
      <c r="B44" s="103" t="s">
        <v>126</v>
      </c>
      <c r="C44" s="104">
        <f>SUM(F9:G11)</f>
        <v>307000</v>
      </c>
      <c r="D44" s="104">
        <f>SUM(M9:N11)</f>
        <v>236000</v>
      </c>
      <c r="E44" s="104">
        <f>SUM(T9:U11)</f>
        <v>177000</v>
      </c>
      <c r="F44" s="104">
        <f>SUM(AA9:AB11)</f>
        <v>371000</v>
      </c>
      <c r="G44" s="104">
        <f>SUM(AH9:AI11)</f>
        <v>365900</v>
      </c>
    </row>
    <row r="45" spans="2:7" x14ac:dyDescent="0.25">
      <c r="B45" s="105" t="s">
        <v>49</v>
      </c>
      <c r="C45" s="106">
        <f>SUM(F12:G14)</f>
        <v>467100</v>
      </c>
      <c r="D45" s="106">
        <f>SUM(M12:N14)</f>
        <v>578000</v>
      </c>
      <c r="E45" s="106">
        <f>SUM(T12:U14)</f>
        <v>620300</v>
      </c>
      <c r="F45" s="106">
        <f>SUM(AA12:AB14)</f>
        <v>615700</v>
      </c>
      <c r="G45" s="106">
        <f>SUM(AH12:AI14)</f>
        <v>637800</v>
      </c>
    </row>
    <row r="46" spans="2:7" x14ac:dyDescent="0.25">
      <c r="B46" s="107" t="s">
        <v>103</v>
      </c>
      <c r="C46" s="108">
        <f>SUM(C43:C45)</f>
        <v>1839200</v>
      </c>
      <c r="D46" s="108">
        <f t="shared" ref="D46:G46" si="14">SUM(D43:D45)</f>
        <v>1811100</v>
      </c>
      <c r="E46" s="108">
        <f t="shared" si="14"/>
        <v>1994000</v>
      </c>
      <c r="F46" s="108">
        <f t="shared" si="14"/>
        <v>2028200</v>
      </c>
      <c r="G46" s="108">
        <f t="shared" si="14"/>
        <v>2075500</v>
      </c>
    </row>
    <row r="48" spans="2:7" x14ac:dyDescent="0.25">
      <c r="B48" s="100" t="s">
        <v>202</v>
      </c>
      <c r="C48" s="282" t="s">
        <v>137</v>
      </c>
      <c r="D48" s="282" t="s">
        <v>153</v>
      </c>
      <c r="E48" s="282" t="s">
        <v>199</v>
      </c>
      <c r="F48" s="282" t="s">
        <v>200</v>
      </c>
      <c r="G48" s="282" t="s">
        <v>201</v>
      </c>
    </row>
    <row r="49" spans="2:7" x14ac:dyDescent="0.25">
      <c r="B49" s="254" t="s">
        <v>203</v>
      </c>
      <c r="C49" s="255"/>
      <c r="D49" s="256">
        <f>M15-F$15</f>
        <v>25400</v>
      </c>
      <c r="E49" s="256">
        <f>T15-M$15</f>
        <v>126800</v>
      </c>
      <c r="F49" s="256">
        <f>AA15-T$15</f>
        <v>43900</v>
      </c>
      <c r="G49" s="256">
        <f>AH15-AA$15</f>
        <v>41500</v>
      </c>
    </row>
    <row r="50" spans="2:7" x14ac:dyDescent="0.25">
      <c r="B50" s="254" t="s">
        <v>230</v>
      </c>
      <c r="C50" s="255"/>
      <c r="D50" s="256">
        <f>M15-F$15</f>
        <v>25400</v>
      </c>
      <c r="E50" s="256">
        <f>T15-$F$15</f>
        <v>152200</v>
      </c>
      <c r="F50" s="256">
        <f>AA15-$F$15</f>
        <v>196100</v>
      </c>
      <c r="G50" s="256">
        <f>AH15-$F$15</f>
        <v>237600</v>
      </c>
    </row>
  </sheetData>
  <mergeCells count="11">
    <mergeCell ref="AO10:AR10"/>
    <mergeCell ref="AO5:AR5"/>
    <mergeCell ref="AO6:AR6"/>
    <mergeCell ref="AO7:AR7"/>
    <mergeCell ref="AO8:AR8"/>
    <mergeCell ref="AO9:AR9"/>
    <mergeCell ref="C4:G4"/>
    <mergeCell ref="J4:N4"/>
    <mergeCell ref="Q4:U4"/>
    <mergeCell ref="X4:AB4"/>
    <mergeCell ref="AE4:AI4"/>
  </mergeCells>
  <conditionalFormatting sqref="AH17">
    <cfRule type="expression" dxfId="1" priority="1">
      <formula>$AH$17&lt;&gt;$AH$15</formula>
    </cfRule>
    <cfRule type="expression" dxfId="0" priority="2">
      <formula>$AH$17=$AH$15</formula>
    </cfRule>
  </conditionalFormatting>
  <pageMargins left="0.7" right="0.7" top="0.75" bottom="0.75" header="0.3" footer="0.3"/>
  <pageSetup orientation="portrait" r:id="rId1"/>
  <ignoredErrors>
    <ignoredError sqref="C36" formulaRange="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G29"/>
  <sheetViews>
    <sheetView zoomScale="90" zoomScaleNormal="90" workbookViewId="0"/>
  </sheetViews>
  <sheetFormatPr defaultColWidth="8.85546875" defaultRowHeight="15.75" x14ac:dyDescent="0.25"/>
  <cols>
    <col min="1" max="2" width="19.140625" style="109" customWidth="1"/>
    <col min="3" max="3" width="28.5703125" style="109" customWidth="1"/>
    <col min="4" max="4" width="44.140625" style="109" bestFit="1" customWidth="1"/>
    <col min="5" max="5" width="20.42578125" style="109" bestFit="1" customWidth="1"/>
    <col min="6" max="7" width="19.140625" style="109" customWidth="1"/>
    <col min="8" max="8" width="5" style="109" customWidth="1"/>
    <col min="9" max="9" width="37.140625" style="109" customWidth="1"/>
    <col min="10" max="10" width="40" style="109" bestFit="1" customWidth="1"/>
    <col min="11" max="11" width="18.5703125" style="109" customWidth="1"/>
    <col min="12" max="12" width="13.28515625" style="109" customWidth="1"/>
    <col min="13" max="13" width="13.85546875" style="109" customWidth="1"/>
    <col min="14" max="14" width="5" style="109" customWidth="1"/>
    <col min="15" max="15" width="37.140625" style="109" customWidth="1"/>
    <col min="16" max="16" width="40" style="109" bestFit="1" customWidth="1"/>
    <col min="17" max="17" width="18.5703125" style="109" customWidth="1"/>
    <col min="18" max="18" width="13.28515625" style="109" customWidth="1"/>
    <col min="19" max="19" width="13.85546875" style="109" customWidth="1"/>
    <col min="20" max="20" width="5" style="109" customWidth="1"/>
    <col min="21" max="21" width="26.85546875" style="109" customWidth="1"/>
    <col min="22" max="22" width="44.140625" style="109" bestFit="1" customWidth="1"/>
    <col min="23" max="23" width="20.42578125" style="109" bestFit="1" customWidth="1"/>
    <col min="24" max="24" width="12.42578125" style="109" bestFit="1" customWidth="1"/>
    <col min="25" max="25" width="10.85546875" style="109" bestFit="1" customWidth="1"/>
    <col min="26" max="26" width="5" style="109" customWidth="1"/>
    <col min="27" max="27" width="27" style="109" customWidth="1"/>
    <col min="28" max="28" width="44.140625" style="109" bestFit="1" customWidth="1"/>
    <col min="29" max="29" width="14.28515625" style="109" bestFit="1" customWidth="1"/>
    <col min="30" max="30" width="12.42578125" style="109" bestFit="1" customWidth="1"/>
    <col min="31" max="31" width="10.85546875" style="109" bestFit="1" customWidth="1"/>
    <col min="32" max="32" width="4.42578125" style="109" customWidth="1"/>
    <col min="33" max="33" width="18.42578125" style="109" customWidth="1"/>
    <col min="34" max="34" width="32" style="109" bestFit="1" customWidth="1"/>
    <col min="35" max="35" width="14.28515625" style="109" bestFit="1" customWidth="1"/>
    <col min="36" max="36" width="12.42578125" style="109" bestFit="1" customWidth="1"/>
    <col min="37" max="37" width="10.85546875" style="109" bestFit="1" customWidth="1"/>
    <col min="38" max="38" width="11" style="109" bestFit="1" customWidth="1"/>
    <col min="39" max="39" width="29.5703125" style="109" customWidth="1"/>
    <col min="40" max="40" width="44.140625" style="109" bestFit="1" customWidth="1"/>
    <col min="41" max="41" width="18.42578125" style="109" customWidth="1"/>
    <col min="42" max="42" width="15" style="109" customWidth="1"/>
    <col min="43" max="43" width="14.28515625" style="109" bestFit="1" customWidth="1"/>
    <col min="44" max="44" width="12.42578125" style="109" bestFit="1" customWidth="1"/>
    <col min="45" max="45" width="20.85546875" style="109" customWidth="1"/>
    <col min="46" max="46" width="35" style="109" bestFit="1" customWidth="1"/>
    <col min="47" max="47" width="11" style="109" bestFit="1" customWidth="1"/>
    <col min="48" max="48" width="16.28515625" style="109" bestFit="1" customWidth="1"/>
    <col min="49" max="49" width="10.7109375" style="109" customWidth="1"/>
    <col min="50" max="50" width="10.85546875" style="109" customWidth="1"/>
    <col min="51" max="51" width="11" style="109" bestFit="1" customWidth="1"/>
    <col min="52" max="52" width="8.85546875" style="109"/>
    <col min="53" max="53" width="20.28515625" style="109" customWidth="1"/>
    <col min="54" max="54" width="35" style="109" bestFit="1" customWidth="1"/>
    <col min="55" max="57" width="15.140625" style="109" customWidth="1"/>
    <col min="58" max="59" width="11" style="109" bestFit="1" customWidth="1"/>
    <col min="60" max="16384" width="8.85546875" style="109"/>
  </cols>
  <sheetData>
    <row r="1" spans="2:59" ht="18.75" x14ac:dyDescent="0.3">
      <c r="B1" s="166" t="s">
        <v>94</v>
      </c>
      <c r="E1" s="110" t="s">
        <v>73</v>
      </c>
      <c r="H1" s="166"/>
      <c r="K1" s="110" t="s">
        <v>73</v>
      </c>
      <c r="N1" s="166"/>
      <c r="Q1" s="110" t="s">
        <v>73</v>
      </c>
      <c r="T1" s="166"/>
      <c r="W1" s="110" t="s">
        <v>73</v>
      </c>
      <c r="Z1" s="166"/>
      <c r="AC1" s="110" t="s">
        <v>73</v>
      </c>
    </row>
    <row r="2" spans="2:59" x14ac:dyDescent="0.25">
      <c r="B2" s="1" t="str">
        <f>'Table of Contents'!B2</f>
        <v>Approved 2018 RTF Work Plan (October 10, 2017)</v>
      </c>
      <c r="E2" s="300">
        <v>200000</v>
      </c>
      <c r="F2" s="206"/>
      <c r="H2" s="1"/>
      <c r="K2" s="300">
        <v>202000</v>
      </c>
      <c r="L2" s="206"/>
      <c r="N2" s="1"/>
      <c r="Q2" s="300">
        <v>183862.66666666666</v>
      </c>
      <c r="R2" s="206"/>
      <c r="T2" s="1"/>
      <c r="W2" s="111">
        <v>183862.66666666666</v>
      </c>
      <c r="X2" s="206"/>
      <c r="Z2" s="1"/>
      <c r="AC2" s="111">
        <v>160000</v>
      </c>
    </row>
    <row r="3" spans="2:59" x14ac:dyDescent="0.25">
      <c r="B3" s="32"/>
      <c r="H3" s="32"/>
      <c r="N3" s="32"/>
      <c r="T3" s="32"/>
      <c r="Z3" s="32"/>
    </row>
    <row r="4" spans="2:59" x14ac:dyDescent="0.25">
      <c r="C4" s="263" t="s">
        <v>312</v>
      </c>
      <c r="D4" s="264"/>
      <c r="F4" s="113">
        <f>G20</f>
        <v>2.5</v>
      </c>
      <c r="G4" s="114" t="s">
        <v>28</v>
      </c>
      <c r="I4" s="263" t="s">
        <v>271</v>
      </c>
      <c r="J4" s="264"/>
      <c r="L4" s="113">
        <f>M20</f>
        <v>2.33</v>
      </c>
      <c r="M4" s="114" t="s">
        <v>28</v>
      </c>
      <c r="O4" s="263" t="s">
        <v>238</v>
      </c>
      <c r="P4" s="264"/>
      <c r="R4" s="113">
        <f>S22</f>
        <v>1.9800000000000002</v>
      </c>
      <c r="S4" s="114" t="s">
        <v>28</v>
      </c>
      <c r="U4" s="263" t="s">
        <v>211</v>
      </c>
      <c r="V4" s="264"/>
      <c r="X4" s="113">
        <f>Y22</f>
        <v>2.66</v>
      </c>
      <c r="Y4" s="114" t="s">
        <v>28</v>
      </c>
      <c r="AA4" s="112" t="s">
        <v>158</v>
      </c>
      <c r="AD4" s="113">
        <f>AE21</f>
        <v>2.7900000000000005</v>
      </c>
      <c r="AE4" s="114" t="s">
        <v>28</v>
      </c>
      <c r="AG4" s="112" t="s">
        <v>131</v>
      </c>
      <c r="AJ4" s="113">
        <f>AK21</f>
        <v>2.6200000000000006</v>
      </c>
      <c r="AK4" s="114" t="s">
        <v>28</v>
      </c>
      <c r="AM4" s="112" t="s">
        <v>151</v>
      </c>
      <c r="AP4" s="113">
        <f>AQ20</f>
        <v>2.3539999999999996</v>
      </c>
      <c r="AQ4" s="114" t="s">
        <v>28</v>
      </c>
      <c r="AS4" s="112" t="s">
        <v>27</v>
      </c>
      <c r="AX4" s="113">
        <f>AW20</f>
        <v>2.4799999999999991</v>
      </c>
      <c r="AY4" s="114" t="s">
        <v>28</v>
      </c>
      <c r="BA4" s="112" t="s">
        <v>29</v>
      </c>
      <c r="BF4" s="115">
        <f>BE19</f>
        <v>1.2800000000000002</v>
      </c>
      <c r="BG4" s="116" t="s">
        <v>28</v>
      </c>
    </row>
    <row r="6" spans="2:59" ht="64.5" customHeight="1" x14ac:dyDescent="0.25">
      <c r="C6" s="117" t="s">
        <v>30</v>
      </c>
      <c r="D6" s="117" t="s">
        <v>31</v>
      </c>
      <c r="E6" s="117" t="s">
        <v>32</v>
      </c>
      <c r="F6" s="117" t="s">
        <v>33</v>
      </c>
      <c r="G6" s="117" t="s">
        <v>34</v>
      </c>
      <c r="I6" s="117" t="s">
        <v>30</v>
      </c>
      <c r="J6" s="117" t="s">
        <v>31</v>
      </c>
      <c r="K6" s="117" t="s">
        <v>32</v>
      </c>
      <c r="L6" s="117" t="s">
        <v>33</v>
      </c>
      <c r="M6" s="117" t="s">
        <v>34</v>
      </c>
      <c r="O6" s="117" t="s">
        <v>30</v>
      </c>
      <c r="P6" s="117" t="s">
        <v>31</v>
      </c>
      <c r="Q6" s="117" t="s">
        <v>32</v>
      </c>
      <c r="R6" s="117" t="s">
        <v>33</v>
      </c>
      <c r="S6" s="117" t="s">
        <v>34</v>
      </c>
      <c r="U6" s="117" t="s">
        <v>30</v>
      </c>
      <c r="V6" s="117" t="s">
        <v>31</v>
      </c>
      <c r="W6" s="117" t="s">
        <v>32</v>
      </c>
      <c r="X6" s="117" t="s">
        <v>33</v>
      </c>
      <c r="Y6" s="117" t="s">
        <v>34</v>
      </c>
      <c r="AA6" s="117" t="s">
        <v>30</v>
      </c>
      <c r="AB6" s="117" t="s">
        <v>31</v>
      </c>
      <c r="AC6" s="117" t="s">
        <v>32</v>
      </c>
      <c r="AD6" s="117" t="s">
        <v>33</v>
      </c>
      <c r="AE6" s="117" t="s">
        <v>34</v>
      </c>
      <c r="AG6" s="117" t="s">
        <v>30</v>
      </c>
      <c r="AH6" s="117" t="s">
        <v>31</v>
      </c>
      <c r="AI6" s="117" t="s">
        <v>32</v>
      </c>
      <c r="AJ6" s="117" t="s">
        <v>33</v>
      </c>
      <c r="AK6" s="117" t="s">
        <v>34</v>
      </c>
      <c r="AM6" s="117" t="s">
        <v>30</v>
      </c>
      <c r="AN6" s="117" t="s">
        <v>31</v>
      </c>
      <c r="AO6" s="117" t="s">
        <v>32</v>
      </c>
      <c r="AP6" s="117" t="s">
        <v>33</v>
      </c>
      <c r="AQ6" s="117" t="s">
        <v>34</v>
      </c>
      <c r="AS6" s="117" t="s">
        <v>30</v>
      </c>
      <c r="AT6" s="117" t="s">
        <v>31</v>
      </c>
      <c r="AU6" s="117" t="s">
        <v>32</v>
      </c>
      <c r="AV6" s="117" t="s">
        <v>33</v>
      </c>
      <c r="AW6" s="117" t="s">
        <v>34</v>
      </c>
      <c r="AX6" s="117" t="s">
        <v>35</v>
      </c>
      <c r="AY6" s="117" t="s">
        <v>36</v>
      </c>
      <c r="BA6" s="117" t="s">
        <v>30</v>
      </c>
      <c r="BB6" s="117" t="s">
        <v>31</v>
      </c>
      <c r="BC6" s="117" t="s">
        <v>32</v>
      </c>
      <c r="BD6" s="117" t="s">
        <v>33</v>
      </c>
      <c r="BE6" s="117" t="s">
        <v>34</v>
      </c>
      <c r="BF6" s="117" t="s">
        <v>35</v>
      </c>
      <c r="BG6" s="117" t="s">
        <v>36</v>
      </c>
    </row>
    <row r="7" spans="2:59" x14ac:dyDescent="0.25">
      <c r="C7" s="118" t="s">
        <v>313</v>
      </c>
      <c r="D7" s="118" t="s">
        <v>214</v>
      </c>
      <c r="E7" s="307">
        <v>0.01</v>
      </c>
      <c r="F7" s="307">
        <v>0.01</v>
      </c>
      <c r="G7" s="120">
        <f t="shared" ref="G7:G18" si="0">SUM(E7:F7)</f>
        <v>0.02</v>
      </c>
      <c r="I7" s="118" t="s">
        <v>313</v>
      </c>
      <c r="J7" s="118" t="s">
        <v>214</v>
      </c>
      <c r="K7" s="307">
        <v>0.01</v>
      </c>
      <c r="L7" s="307">
        <v>0.01</v>
      </c>
      <c r="M7" s="120">
        <f t="shared" ref="M7:M9" si="1">SUM(K7:L7)</f>
        <v>0.02</v>
      </c>
      <c r="O7" s="118" t="s">
        <v>272</v>
      </c>
      <c r="P7" s="118" t="s">
        <v>214</v>
      </c>
      <c r="Q7" s="307">
        <v>0.01</v>
      </c>
      <c r="R7" s="307">
        <v>0.05</v>
      </c>
      <c r="S7" s="120">
        <f t="shared" ref="S7:S20" si="2">SUM(Q7:R7)</f>
        <v>6.0000000000000005E-2</v>
      </c>
      <c r="U7" s="118" t="s">
        <v>39</v>
      </c>
      <c r="V7" s="118" t="s">
        <v>214</v>
      </c>
      <c r="W7" s="119">
        <v>0.05</v>
      </c>
      <c r="X7" s="119">
        <v>0.1</v>
      </c>
      <c r="Y7" s="120">
        <f t="shared" ref="Y7:Y20" si="3">SUM(W7:X7)</f>
        <v>0.15000000000000002</v>
      </c>
      <c r="AA7" s="118" t="s">
        <v>37</v>
      </c>
      <c r="AB7" s="118" t="s">
        <v>74</v>
      </c>
      <c r="AC7" s="119">
        <v>0.05</v>
      </c>
      <c r="AD7" s="119">
        <v>0.02</v>
      </c>
      <c r="AE7" s="120">
        <f t="shared" ref="AE7:AE12" si="4">SUM(AC7:AD7)</f>
        <v>7.0000000000000007E-2</v>
      </c>
      <c r="AG7" s="118" t="s">
        <v>37</v>
      </c>
      <c r="AH7" s="118" t="s">
        <v>74</v>
      </c>
      <c r="AI7" s="119">
        <v>0.1</v>
      </c>
      <c r="AJ7" s="119">
        <v>0.2</v>
      </c>
      <c r="AK7" s="120">
        <f t="shared" ref="AK7:AK20" si="5">SUM(AI7:AJ7)</f>
        <v>0.30000000000000004</v>
      </c>
      <c r="AM7" s="118" t="s">
        <v>37</v>
      </c>
      <c r="AN7" s="118" t="s">
        <v>74</v>
      </c>
      <c r="AO7" s="119">
        <v>0.6</v>
      </c>
      <c r="AP7" s="119">
        <v>0.2</v>
      </c>
      <c r="AQ7" s="120">
        <v>0.8</v>
      </c>
      <c r="AS7" s="118" t="s">
        <v>37</v>
      </c>
      <c r="AT7" s="118" t="s">
        <v>38</v>
      </c>
      <c r="AU7" s="120">
        <v>0.4</v>
      </c>
      <c r="AV7" s="120">
        <v>0.4</v>
      </c>
      <c r="AW7" s="120">
        <f t="shared" ref="AW7:AW19" si="6">SUM(AU7:AV7)</f>
        <v>0.8</v>
      </c>
      <c r="AX7" s="118"/>
      <c r="AY7" s="118"/>
      <c r="BA7" s="118" t="s">
        <v>37</v>
      </c>
      <c r="BB7" s="118" t="s">
        <v>38</v>
      </c>
      <c r="BC7" s="120">
        <v>0.2</v>
      </c>
      <c r="BD7" s="120">
        <v>0.1</v>
      </c>
      <c r="BE7" s="120">
        <f t="shared" ref="BE7:BE17" si="7">SUM(BC7:BD7)</f>
        <v>0.30000000000000004</v>
      </c>
      <c r="BF7" s="118"/>
      <c r="BG7" s="118"/>
    </row>
    <row r="8" spans="2:59" x14ac:dyDescent="0.25">
      <c r="C8" s="118" t="s">
        <v>41</v>
      </c>
      <c r="D8" s="118" t="s">
        <v>160</v>
      </c>
      <c r="E8" s="307">
        <v>0</v>
      </c>
      <c r="F8" s="307">
        <v>0.1</v>
      </c>
      <c r="G8" s="120">
        <f t="shared" si="0"/>
        <v>0.1</v>
      </c>
      <c r="I8" s="118" t="s">
        <v>41</v>
      </c>
      <c r="J8" s="118" t="s">
        <v>160</v>
      </c>
      <c r="K8" s="307">
        <v>0</v>
      </c>
      <c r="L8" s="307">
        <v>0.1</v>
      </c>
      <c r="M8" s="120">
        <f t="shared" si="1"/>
        <v>0.1</v>
      </c>
      <c r="O8" s="118" t="s">
        <v>41</v>
      </c>
      <c r="P8" s="118" t="s">
        <v>160</v>
      </c>
      <c r="Q8" s="307">
        <v>0.03</v>
      </c>
      <c r="R8" s="307">
        <v>0.1</v>
      </c>
      <c r="S8" s="120">
        <f t="shared" si="2"/>
        <v>0.13</v>
      </c>
      <c r="U8" s="118" t="s">
        <v>41</v>
      </c>
      <c r="V8" s="118" t="s">
        <v>215</v>
      </c>
      <c r="W8" s="119">
        <v>0.15</v>
      </c>
      <c r="X8" s="119">
        <v>0.1</v>
      </c>
      <c r="Y8" s="120">
        <f t="shared" si="3"/>
        <v>0.25</v>
      </c>
      <c r="AA8" s="118" t="s">
        <v>39</v>
      </c>
      <c r="AB8" s="118" t="s">
        <v>40</v>
      </c>
      <c r="AC8" s="119">
        <v>0.1</v>
      </c>
      <c r="AD8" s="119">
        <v>0.25</v>
      </c>
      <c r="AE8" s="120">
        <f t="shared" si="4"/>
        <v>0.35</v>
      </c>
      <c r="AG8" s="118" t="s">
        <v>39</v>
      </c>
      <c r="AH8" s="118" t="s">
        <v>40</v>
      </c>
      <c r="AI8" s="119">
        <v>0.1</v>
      </c>
      <c r="AJ8" s="119">
        <v>0.25</v>
      </c>
      <c r="AK8" s="120">
        <f t="shared" si="5"/>
        <v>0.35</v>
      </c>
      <c r="AM8" s="118" t="s">
        <v>39</v>
      </c>
      <c r="AN8" s="118" t="s">
        <v>40</v>
      </c>
      <c r="AO8" s="119">
        <v>0.2</v>
      </c>
      <c r="AP8" s="119">
        <v>0.25</v>
      </c>
      <c r="AQ8" s="120">
        <v>0.45</v>
      </c>
      <c r="AS8" s="118" t="s">
        <v>39</v>
      </c>
      <c r="AT8" s="118" t="s">
        <v>40</v>
      </c>
      <c r="AU8" s="120">
        <v>0.3</v>
      </c>
      <c r="AV8" s="120">
        <v>0.2</v>
      </c>
      <c r="AW8" s="120">
        <f t="shared" si="6"/>
        <v>0.5</v>
      </c>
      <c r="AX8" s="118"/>
      <c r="AY8" s="118"/>
      <c r="BA8" s="118" t="s">
        <v>39</v>
      </c>
      <c r="BB8" s="118" t="s">
        <v>40</v>
      </c>
      <c r="BC8" s="120">
        <v>0.15</v>
      </c>
      <c r="BD8" s="120">
        <v>0.25</v>
      </c>
      <c r="BE8" s="120">
        <f t="shared" si="7"/>
        <v>0.4</v>
      </c>
      <c r="BF8" s="118"/>
      <c r="BG8" s="118"/>
    </row>
    <row r="9" spans="2:59" x14ac:dyDescent="0.25">
      <c r="C9" s="121" t="s">
        <v>43</v>
      </c>
      <c r="D9" s="121" t="s">
        <v>44</v>
      </c>
      <c r="E9" s="306">
        <v>0</v>
      </c>
      <c r="F9" s="307">
        <v>0.03</v>
      </c>
      <c r="G9" s="122">
        <f t="shared" si="0"/>
        <v>0.03</v>
      </c>
      <c r="I9" s="121" t="s">
        <v>43</v>
      </c>
      <c r="J9" s="121" t="s">
        <v>44</v>
      </c>
      <c r="K9" s="306">
        <v>0</v>
      </c>
      <c r="L9" s="307">
        <v>0.01</v>
      </c>
      <c r="M9" s="122">
        <f t="shared" si="1"/>
        <v>0.01</v>
      </c>
      <c r="O9" s="121" t="s">
        <v>43</v>
      </c>
      <c r="P9" s="121" t="s">
        <v>44</v>
      </c>
      <c r="Q9" s="306">
        <v>0</v>
      </c>
      <c r="R9" s="307">
        <v>0.01</v>
      </c>
      <c r="S9" s="122">
        <f t="shared" si="2"/>
        <v>0.01</v>
      </c>
      <c r="U9" s="121" t="s">
        <v>43</v>
      </c>
      <c r="V9" s="121" t="s">
        <v>44</v>
      </c>
      <c r="W9" s="122">
        <v>0</v>
      </c>
      <c r="X9" s="120">
        <v>0.02</v>
      </c>
      <c r="Y9" s="122">
        <f t="shared" si="3"/>
        <v>0.02</v>
      </c>
      <c r="AA9" s="118" t="s">
        <v>41</v>
      </c>
      <c r="AB9" s="118" t="s">
        <v>160</v>
      </c>
      <c r="AC9" s="119">
        <v>0.15</v>
      </c>
      <c r="AD9" s="119">
        <v>0.25</v>
      </c>
      <c r="AE9" s="120">
        <f t="shared" si="4"/>
        <v>0.4</v>
      </c>
      <c r="AG9" s="118" t="s">
        <v>41</v>
      </c>
      <c r="AH9" s="118" t="s">
        <v>42</v>
      </c>
      <c r="AI9" s="119">
        <v>0.15</v>
      </c>
      <c r="AJ9" s="119">
        <v>0.25</v>
      </c>
      <c r="AK9" s="120">
        <f t="shared" si="5"/>
        <v>0.4</v>
      </c>
      <c r="AM9" s="118" t="s">
        <v>41</v>
      </c>
      <c r="AN9" s="118" t="s">
        <v>42</v>
      </c>
      <c r="AO9" s="119">
        <v>0.254</v>
      </c>
      <c r="AP9" s="119">
        <v>0.35</v>
      </c>
      <c r="AQ9" s="120">
        <v>0.60399999999999998</v>
      </c>
      <c r="AS9" s="118" t="s">
        <v>41</v>
      </c>
      <c r="AT9" s="118" t="s">
        <v>42</v>
      </c>
      <c r="AU9" s="120">
        <v>0.33</v>
      </c>
      <c r="AV9" s="120">
        <v>0.33</v>
      </c>
      <c r="AW9" s="120">
        <f t="shared" si="6"/>
        <v>0.66</v>
      </c>
      <c r="AX9" s="118"/>
      <c r="AY9" s="118"/>
      <c r="BA9" s="118" t="s">
        <v>41</v>
      </c>
      <c r="BB9" s="118" t="s">
        <v>42</v>
      </c>
      <c r="BC9" s="120">
        <v>0.15</v>
      </c>
      <c r="BD9" s="120">
        <v>0.15</v>
      </c>
      <c r="BE9" s="120">
        <f t="shared" si="7"/>
        <v>0.3</v>
      </c>
      <c r="BF9" s="118"/>
      <c r="BG9" s="118"/>
    </row>
    <row r="10" spans="2:59" x14ac:dyDescent="0.25">
      <c r="C10" s="121" t="s">
        <v>213</v>
      </c>
      <c r="D10" s="118" t="s">
        <v>239</v>
      </c>
      <c r="E10" s="306">
        <v>0</v>
      </c>
      <c r="F10" s="307">
        <v>0.08</v>
      </c>
      <c r="G10" s="122">
        <f>SUM(E10:F10)</f>
        <v>0.08</v>
      </c>
      <c r="I10" s="121" t="s">
        <v>213</v>
      </c>
      <c r="J10" s="118" t="s">
        <v>239</v>
      </c>
      <c r="K10" s="306">
        <v>0</v>
      </c>
      <c r="L10" s="307">
        <v>0.05</v>
      </c>
      <c r="M10" s="122">
        <f>SUM(K10:L10)</f>
        <v>0.05</v>
      </c>
      <c r="O10" s="121" t="s">
        <v>142</v>
      </c>
      <c r="P10" s="118" t="s">
        <v>0</v>
      </c>
      <c r="Q10" s="306">
        <v>0</v>
      </c>
      <c r="R10" s="307">
        <v>0.01</v>
      </c>
      <c r="S10" s="122">
        <f t="shared" si="2"/>
        <v>0.01</v>
      </c>
      <c r="U10" s="121" t="s">
        <v>142</v>
      </c>
      <c r="V10" s="118" t="s">
        <v>0</v>
      </c>
      <c r="W10" s="122">
        <v>0</v>
      </c>
      <c r="X10" s="120">
        <v>0.02</v>
      </c>
      <c r="Y10" s="122">
        <f t="shared" si="3"/>
        <v>0.02</v>
      </c>
      <c r="AA10" s="121" t="s">
        <v>43</v>
      </c>
      <c r="AB10" s="121" t="s">
        <v>44</v>
      </c>
      <c r="AC10" s="122">
        <v>0</v>
      </c>
      <c r="AD10" s="120">
        <v>0.02</v>
      </c>
      <c r="AE10" s="122">
        <f t="shared" si="4"/>
        <v>0.02</v>
      </c>
      <c r="AG10" s="121" t="s">
        <v>43</v>
      </c>
      <c r="AH10" s="121" t="s">
        <v>44</v>
      </c>
      <c r="AI10" s="122">
        <v>0</v>
      </c>
      <c r="AJ10" s="120">
        <v>0.02</v>
      </c>
      <c r="AK10" s="122">
        <f t="shared" si="5"/>
        <v>0.02</v>
      </c>
      <c r="AM10" s="121" t="s">
        <v>43</v>
      </c>
      <c r="AN10" s="121" t="s">
        <v>44</v>
      </c>
      <c r="AO10" s="122">
        <v>0</v>
      </c>
      <c r="AP10" s="120">
        <v>0.01</v>
      </c>
      <c r="AQ10" s="122">
        <v>0.01</v>
      </c>
      <c r="AS10" s="121" t="s">
        <v>43</v>
      </c>
      <c r="AT10" s="121" t="s">
        <v>44</v>
      </c>
      <c r="AU10" s="122">
        <v>0</v>
      </c>
      <c r="AV10" s="120">
        <v>0.01</v>
      </c>
      <c r="AW10" s="122">
        <f t="shared" si="6"/>
        <v>0.01</v>
      </c>
      <c r="AX10" s="118"/>
      <c r="AY10" s="118"/>
      <c r="BA10" s="121" t="s">
        <v>43</v>
      </c>
      <c r="BB10" s="121" t="s">
        <v>44</v>
      </c>
      <c r="BC10" s="122">
        <v>0</v>
      </c>
      <c r="BD10" s="120">
        <v>0.02</v>
      </c>
      <c r="BE10" s="122">
        <f t="shared" si="7"/>
        <v>0.02</v>
      </c>
      <c r="BF10" s="118"/>
      <c r="BG10" s="118"/>
    </row>
    <row r="11" spans="2:59" x14ac:dyDescent="0.25">
      <c r="C11" s="121" t="s">
        <v>240</v>
      </c>
      <c r="D11" s="118" t="s">
        <v>239</v>
      </c>
      <c r="E11" s="306">
        <v>0</v>
      </c>
      <c r="F11" s="307">
        <v>0.08</v>
      </c>
      <c r="G11" s="122">
        <f>SUM(E11:F11)</f>
        <v>0.08</v>
      </c>
      <c r="I11" s="121" t="s">
        <v>240</v>
      </c>
      <c r="J11" s="118" t="s">
        <v>239</v>
      </c>
      <c r="K11" s="306">
        <v>0</v>
      </c>
      <c r="L11" s="307">
        <v>0.05</v>
      </c>
      <c r="M11" s="122">
        <f>SUM(K11:L11)</f>
        <v>0.05</v>
      </c>
      <c r="O11" s="121" t="s">
        <v>213</v>
      </c>
      <c r="P11" s="118" t="s">
        <v>239</v>
      </c>
      <c r="Q11" s="306">
        <v>0</v>
      </c>
      <c r="R11" s="307">
        <v>7.0000000000000007E-2</v>
      </c>
      <c r="S11" s="122">
        <f t="shared" si="2"/>
        <v>7.0000000000000007E-2</v>
      </c>
      <c r="U11" s="121" t="s">
        <v>213</v>
      </c>
      <c r="V11" s="118"/>
      <c r="W11" s="122">
        <v>0</v>
      </c>
      <c r="X11" s="120">
        <v>0.1</v>
      </c>
      <c r="Y11" s="122">
        <f t="shared" si="3"/>
        <v>0.1</v>
      </c>
      <c r="AA11" s="121" t="s">
        <v>142</v>
      </c>
      <c r="AB11" s="118" t="s">
        <v>0</v>
      </c>
      <c r="AC11" s="122">
        <v>0</v>
      </c>
      <c r="AD11" s="120">
        <v>0.02</v>
      </c>
      <c r="AE11" s="122">
        <f t="shared" si="4"/>
        <v>0.02</v>
      </c>
      <c r="AG11" s="121" t="s">
        <v>142</v>
      </c>
      <c r="AH11" s="118" t="s">
        <v>0</v>
      </c>
      <c r="AI11" s="122">
        <v>0</v>
      </c>
      <c r="AJ11" s="120">
        <v>0.02</v>
      </c>
      <c r="AK11" s="122">
        <f t="shared" si="5"/>
        <v>0.02</v>
      </c>
      <c r="AM11" s="121" t="s">
        <v>142</v>
      </c>
      <c r="AN11" s="118" t="s">
        <v>0</v>
      </c>
      <c r="AO11" s="122">
        <v>0</v>
      </c>
      <c r="AP11" s="120">
        <v>0.01</v>
      </c>
      <c r="AQ11" s="122">
        <v>0.01</v>
      </c>
      <c r="AS11" s="121" t="s">
        <v>45</v>
      </c>
      <c r="AT11" s="118" t="s">
        <v>0</v>
      </c>
      <c r="AU11" s="122">
        <v>0</v>
      </c>
      <c r="AV11" s="120">
        <v>0.01</v>
      </c>
      <c r="AW11" s="122">
        <f t="shared" si="6"/>
        <v>0.01</v>
      </c>
      <c r="AX11" s="118"/>
      <c r="AY11" s="118"/>
      <c r="BA11" s="121" t="s">
        <v>1</v>
      </c>
      <c r="BB11" s="118" t="s">
        <v>0</v>
      </c>
      <c r="BC11" s="122">
        <v>0</v>
      </c>
      <c r="BD11" s="120">
        <v>0.05</v>
      </c>
      <c r="BE11" s="122">
        <f t="shared" si="7"/>
        <v>0.05</v>
      </c>
      <c r="BF11" s="118"/>
      <c r="BG11" s="118"/>
    </row>
    <row r="12" spans="2:59" x14ac:dyDescent="0.25">
      <c r="C12" s="121" t="s">
        <v>275</v>
      </c>
      <c r="D12" s="118" t="s">
        <v>3</v>
      </c>
      <c r="E12" s="306">
        <v>1</v>
      </c>
      <c r="F12" s="307">
        <v>0</v>
      </c>
      <c r="G12" s="122">
        <f t="shared" si="0"/>
        <v>1</v>
      </c>
      <c r="I12" s="121" t="s">
        <v>275</v>
      </c>
      <c r="J12" s="118" t="s">
        <v>3</v>
      </c>
      <c r="K12" s="306">
        <v>1</v>
      </c>
      <c r="L12" s="307">
        <v>0</v>
      </c>
      <c r="M12" s="122">
        <f t="shared" ref="M12:M18" si="8">SUM(K12:L12)</f>
        <v>1</v>
      </c>
      <c r="O12" s="121" t="s">
        <v>240</v>
      </c>
      <c r="P12" s="118" t="s">
        <v>239</v>
      </c>
      <c r="Q12" s="306">
        <v>0</v>
      </c>
      <c r="R12" s="307">
        <v>7.0000000000000007E-2</v>
      </c>
      <c r="S12" s="122">
        <f t="shared" si="2"/>
        <v>7.0000000000000007E-2</v>
      </c>
      <c r="U12" s="121" t="s">
        <v>224</v>
      </c>
      <c r="V12" s="118"/>
      <c r="W12" s="122">
        <v>0</v>
      </c>
      <c r="X12" s="120">
        <v>0.1</v>
      </c>
      <c r="Y12" s="122">
        <f t="shared" si="3"/>
        <v>0.1</v>
      </c>
      <c r="AA12" s="121" t="s">
        <v>161</v>
      </c>
      <c r="AB12" s="118" t="s">
        <v>3</v>
      </c>
      <c r="AC12" s="122">
        <v>0.5</v>
      </c>
      <c r="AD12" s="120">
        <v>0</v>
      </c>
      <c r="AE12" s="122">
        <f t="shared" si="4"/>
        <v>0.5</v>
      </c>
      <c r="AG12" s="121" t="s">
        <v>161</v>
      </c>
      <c r="AH12" s="118" t="s">
        <v>3</v>
      </c>
      <c r="AI12" s="122">
        <v>0.1</v>
      </c>
      <c r="AJ12" s="120">
        <v>0</v>
      </c>
      <c r="AK12" s="122">
        <f t="shared" si="5"/>
        <v>0.1</v>
      </c>
      <c r="AM12" s="121" t="s">
        <v>161</v>
      </c>
      <c r="AN12" s="118" t="s">
        <v>3</v>
      </c>
      <c r="AO12" s="122">
        <v>0.04</v>
      </c>
      <c r="AP12" s="120">
        <v>0</v>
      </c>
      <c r="AQ12" s="122">
        <v>0.04</v>
      </c>
      <c r="AS12" s="121" t="s">
        <v>2</v>
      </c>
      <c r="AT12" s="118" t="s">
        <v>3</v>
      </c>
      <c r="AU12" s="122">
        <v>0.04</v>
      </c>
      <c r="AV12" s="120">
        <v>0</v>
      </c>
      <c r="AW12" s="122">
        <f t="shared" si="6"/>
        <v>0.04</v>
      </c>
      <c r="AX12" s="118"/>
      <c r="AY12" s="118"/>
      <c r="BA12" s="121" t="s">
        <v>120</v>
      </c>
      <c r="BB12" s="118" t="s">
        <v>4</v>
      </c>
      <c r="BC12" s="122">
        <v>0</v>
      </c>
      <c r="BD12" s="120">
        <v>0.02</v>
      </c>
      <c r="BE12" s="122">
        <f t="shared" si="7"/>
        <v>0.02</v>
      </c>
      <c r="BF12" s="118"/>
      <c r="BG12" s="118"/>
    </row>
    <row r="13" spans="2:59" x14ac:dyDescent="0.25">
      <c r="C13" s="121" t="s">
        <v>225</v>
      </c>
      <c r="D13" s="118" t="s">
        <v>220</v>
      </c>
      <c r="E13" s="306">
        <v>0.05</v>
      </c>
      <c r="F13" s="307">
        <v>0</v>
      </c>
      <c r="G13" s="122">
        <f t="shared" si="0"/>
        <v>0.05</v>
      </c>
      <c r="I13" s="121" t="s">
        <v>225</v>
      </c>
      <c r="J13" s="118" t="s">
        <v>220</v>
      </c>
      <c r="K13" s="306">
        <v>0.02</v>
      </c>
      <c r="L13" s="307">
        <v>0</v>
      </c>
      <c r="M13" s="122">
        <f t="shared" si="8"/>
        <v>0.02</v>
      </c>
      <c r="O13" s="121" t="s">
        <v>161</v>
      </c>
      <c r="P13" s="118" t="s">
        <v>3</v>
      </c>
      <c r="Q13" s="306">
        <v>0.4</v>
      </c>
      <c r="R13" s="307">
        <v>0</v>
      </c>
      <c r="S13" s="122">
        <f t="shared" si="2"/>
        <v>0.4</v>
      </c>
      <c r="U13" s="121" t="s">
        <v>161</v>
      </c>
      <c r="V13" s="118" t="s">
        <v>3</v>
      </c>
      <c r="W13" s="122">
        <v>0.5</v>
      </c>
      <c r="X13" s="120">
        <v>0</v>
      </c>
      <c r="Y13" s="122">
        <f t="shared" si="3"/>
        <v>0.5</v>
      </c>
      <c r="AA13" s="121" t="s">
        <v>7</v>
      </c>
      <c r="AB13" s="118" t="s">
        <v>121</v>
      </c>
      <c r="AC13" s="122">
        <v>0.05</v>
      </c>
      <c r="AD13" s="120">
        <v>0</v>
      </c>
      <c r="AE13" s="122">
        <f t="shared" ref="AE13:AE18" si="9">SUM(AC13:AD13)</f>
        <v>0.05</v>
      </c>
      <c r="AG13" s="121" t="s">
        <v>120</v>
      </c>
      <c r="AH13" s="118" t="s">
        <v>4</v>
      </c>
      <c r="AI13" s="122">
        <v>0</v>
      </c>
      <c r="AJ13" s="120">
        <v>0.02</v>
      </c>
      <c r="AK13" s="122">
        <f t="shared" si="5"/>
        <v>0.02</v>
      </c>
      <c r="AM13" s="121" t="s">
        <v>120</v>
      </c>
      <c r="AN13" s="118" t="s">
        <v>4</v>
      </c>
      <c r="AO13" s="122">
        <v>0</v>
      </c>
      <c r="AP13" s="120">
        <v>0.02</v>
      </c>
      <c r="AQ13" s="122">
        <v>0.02</v>
      </c>
      <c r="AS13" s="121" t="s">
        <v>120</v>
      </c>
      <c r="AT13" s="118" t="s">
        <v>4</v>
      </c>
      <c r="AU13" s="122">
        <v>0</v>
      </c>
      <c r="AV13" s="120">
        <v>0.02</v>
      </c>
      <c r="AW13" s="122">
        <f t="shared" si="6"/>
        <v>0.02</v>
      </c>
      <c r="AX13" s="118"/>
      <c r="AY13" s="118"/>
      <c r="BA13" s="118" t="s">
        <v>5</v>
      </c>
      <c r="BB13" s="118" t="s">
        <v>6</v>
      </c>
      <c r="BC13" s="120">
        <v>0.05</v>
      </c>
      <c r="BD13" s="120">
        <v>0</v>
      </c>
      <c r="BE13" s="120">
        <f t="shared" si="7"/>
        <v>0.05</v>
      </c>
      <c r="BF13" s="118"/>
      <c r="BG13" s="118"/>
    </row>
    <row r="14" spans="2:59" x14ac:dyDescent="0.25">
      <c r="C14" s="118" t="s">
        <v>5</v>
      </c>
      <c r="D14" s="118" t="s">
        <v>6</v>
      </c>
      <c r="E14" s="307">
        <v>0.05</v>
      </c>
      <c r="F14" s="307">
        <v>0</v>
      </c>
      <c r="G14" s="120">
        <f t="shared" si="0"/>
        <v>0.05</v>
      </c>
      <c r="I14" s="118" t="s">
        <v>5</v>
      </c>
      <c r="J14" s="118" t="s">
        <v>6</v>
      </c>
      <c r="K14" s="307">
        <v>0.02</v>
      </c>
      <c r="L14" s="307">
        <v>0</v>
      </c>
      <c r="M14" s="120">
        <f t="shared" si="8"/>
        <v>0.02</v>
      </c>
      <c r="O14" s="121" t="s">
        <v>225</v>
      </c>
      <c r="P14" s="118" t="s">
        <v>220</v>
      </c>
      <c r="Q14" s="306">
        <v>0.05</v>
      </c>
      <c r="R14" s="307">
        <v>0</v>
      </c>
      <c r="S14" s="122">
        <f t="shared" si="2"/>
        <v>0.05</v>
      </c>
      <c r="U14" s="121" t="s">
        <v>225</v>
      </c>
      <c r="V14" s="118" t="s">
        <v>220</v>
      </c>
      <c r="W14" s="122">
        <v>0.15</v>
      </c>
      <c r="X14" s="120">
        <v>0</v>
      </c>
      <c r="Y14" s="122">
        <f t="shared" si="3"/>
        <v>0.15</v>
      </c>
      <c r="AA14" s="118" t="s">
        <v>5</v>
      </c>
      <c r="AB14" s="118" t="s">
        <v>6</v>
      </c>
      <c r="AC14" s="120">
        <v>0.1</v>
      </c>
      <c r="AD14" s="120">
        <v>0</v>
      </c>
      <c r="AE14" s="120">
        <f t="shared" si="9"/>
        <v>0.1</v>
      </c>
      <c r="AG14" s="121" t="s">
        <v>7</v>
      </c>
      <c r="AH14" s="118" t="s">
        <v>121</v>
      </c>
      <c r="AI14" s="122">
        <v>0.05</v>
      </c>
      <c r="AJ14" s="120">
        <v>0</v>
      </c>
      <c r="AK14" s="122">
        <f t="shared" si="5"/>
        <v>0.05</v>
      </c>
      <c r="AM14" s="121" t="s">
        <v>7</v>
      </c>
      <c r="AN14" s="118" t="s">
        <v>121</v>
      </c>
      <c r="AO14" s="122">
        <v>0.05</v>
      </c>
      <c r="AP14" s="120">
        <v>0</v>
      </c>
      <c r="AQ14" s="122">
        <v>0.05</v>
      </c>
      <c r="AS14" s="121" t="s">
        <v>7</v>
      </c>
      <c r="AT14" s="118" t="s">
        <v>121</v>
      </c>
      <c r="AU14" s="122">
        <v>0.05</v>
      </c>
      <c r="AV14" s="120">
        <v>0</v>
      </c>
      <c r="AW14" s="122">
        <f t="shared" si="6"/>
        <v>0.05</v>
      </c>
      <c r="AX14" s="118"/>
      <c r="AY14" s="118"/>
      <c r="BA14" s="118" t="s">
        <v>8</v>
      </c>
      <c r="BB14" s="118" t="s">
        <v>9</v>
      </c>
      <c r="BC14" s="120">
        <v>0.1</v>
      </c>
      <c r="BD14" s="120">
        <v>0</v>
      </c>
      <c r="BE14" s="120">
        <f t="shared" si="7"/>
        <v>0.1</v>
      </c>
      <c r="BF14" s="118"/>
      <c r="BG14" s="118"/>
    </row>
    <row r="15" spans="2:59" x14ac:dyDescent="0.25">
      <c r="C15" s="118" t="s">
        <v>12</v>
      </c>
      <c r="D15" s="118" t="s">
        <v>9</v>
      </c>
      <c r="E15" s="307">
        <v>0.05</v>
      </c>
      <c r="F15" s="307">
        <v>0</v>
      </c>
      <c r="G15" s="119">
        <f t="shared" si="0"/>
        <v>0.05</v>
      </c>
      <c r="I15" s="118" t="s">
        <v>12</v>
      </c>
      <c r="J15" s="118" t="s">
        <v>9</v>
      </c>
      <c r="K15" s="307">
        <v>0.02</v>
      </c>
      <c r="L15" s="307">
        <v>0</v>
      </c>
      <c r="M15" s="119">
        <f t="shared" si="8"/>
        <v>0.02</v>
      </c>
      <c r="O15" s="121" t="s">
        <v>7</v>
      </c>
      <c r="P15" s="118" t="s">
        <v>121</v>
      </c>
      <c r="Q15" s="306">
        <v>0.01</v>
      </c>
      <c r="R15" s="307">
        <v>0</v>
      </c>
      <c r="S15" s="122">
        <f t="shared" si="2"/>
        <v>0.01</v>
      </c>
      <c r="U15" s="121" t="s">
        <v>7</v>
      </c>
      <c r="V15" s="118" t="s">
        <v>121</v>
      </c>
      <c r="W15" s="122">
        <v>0.05</v>
      </c>
      <c r="X15" s="120">
        <v>0</v>
      </c>
      <c r="Y15" s="122">
        <f t="shared" si="3"/>
        <v>0.05</v>
      </c>
      <c r="AA15" s="118" t="s">
        <v>12</v>
      </c>
      <c r="AB15" s="118" t="s">
        <v>9</v>
      </c>
      <c r="AC15" s="119">
        <v>0.1</v>
      </c>
      <c r="AD15" s="119">
        <v>0</v>
      </c>
      <c r="AE15" s="119">
        <f t="shared" si="9"/>
        <v>0.1</v>
      </c>
      <c r="AG15" s="118" t="s">
        <v>5</v>
      </c>
      <c r="AH15" s="118" t="s">
        <v>6</v>
      </c>
      <c r="AI15" s="120">
        <v>0.1</v>
      </c>
      <c r="AJ15" s="120">
        <v>0</v>
      </c>
      <c r="AK15" s="120">
        <f t="shared" si="5"/>
        <v>0.1</v>
      </c>
      <c r="AM15" s="118" t="s">
        <v>5</v>
      </c>
      <c r="AN15" s="118" t="s">
        <v>6</v>
      </c>
      <c r="AO15" s="120">
        <v>0.1</v>
      </c>
      <c r="AP15" s="120">
        <v>0</v>
      </c>
      <c r="AQ15" s="120">
        <v>0.1</v>
      </c>
      <c r="AS15" s="118" t="s">
        <v>5</v>
      </c>
      <c r="AT15" s="118" t="s">
        <v>6</v>
      </c>
      <c r="AU15" s="120">
        <v>0.05</v>
      </c>
      <c r="AV15" s="120">
        <v>0</v>
      </c>
      <c r="AW15" s="120">
        <f t="shared" si="6"/>
        <v>0.05</v>
      </c>
      <c r="AX15" s="118"/>
      <c r="AY15" s="118"/>
      <c r="BA15" s="118" t="s">
        <v>10</v>
      </c>
      <c r="BB15" s="118" t="s">
        <v>11</v>
      </c>
      <c r="BC15" s="120">
        <v>0.01</v>
      </c>
      <c r="BD15" s="120">
        <v>0</v>
      </c>
      <c r="BE15" s="120">
        <f t="shared" si="7"/>
        <v>0.01</v>
      </c>
      <c r="BF15" s="118"/>
      <c r="BG15" s="118"/>
    </row>
    <row r="16" spans="2:59" x14ac:dyDescent="0.25">
      <c r="C16" s="118" t="s">
        <v>10</v>
      </c>
      <c r="D16" s="118" t="s">
        <v>15</v>
      </c>
      <c r="E16" s="307">
        <v>0.02</v>
      </c>
      <c r="F16" s="307">
        <v>0</v>
      </c>
      <c r="G16" s="119">
        <f t="shared" si="0"/>
        <v>0.02</v>
      </c>
      <c r="I16" s="118" t="s">
        <v>10</v>
      </c>
      <c r="J16" s="118" t="s">
        <v>15</v>
      </c>
      <c r="K16" s="307">
        <v>0.02</v>
      </c>
      <c r="L16" s="307">
        <v>0</v>
      </c>
      <c r="M16" s="119">
        <f t="shared" si="8"/>
        <v>0.02</v>
      </c>
      <c r="O16" s="118" t="s">
        <v>5</v>
      </c>
      <c r="P16" s="118" t="s">
        <v>6</v>
      </c>
      <c r="Q16" s="307">
        <v>0.05</v>
      </c>
      <c r="R16" s="307">
        <v>0</v>
      </c>
      <c r="S16" s="120">
        <f t="shared" si="2"/>
        <v>0.05</v>
      </c>
      <c r="U16" s="118" t="s">
        <v>5</v>
      </c>
      <c r="V16" s="118" t="s">
        <v>6</v>
      </c>
      <c r="W16" s="120">
        <v>7.0000000000000007E-2</v>
      </c>
      <c r="X16" s="120">
        <v>0</v>
      </c>
      <c r="Y16" s="120">
        <f t="shared" si="3"/>
        <v>7.0000000000000007E-2</v>
      </c>
      <c r="AA16" s="118" t="s">
        <v>10</v>
      </c>
      <c r="AB16" s="118" t="s">
        <v>15</v>
      </c>
      <c r="AC16" s="119">
        <v>7.0000000000000007E-2</v>
      </c>
      <c r="AD16" s="119">
        <v>0</v>
      </c>
      <c r="AE16" s="119">
        <f t="shared" si="9"/>
        <v>7.0000000000000007E-2</v>
      </c>
      <c r="AG16" s="118" t="s">
        <v>12</v>
      </c>
      <c r="AH16" s="118" t="s">
        <v>9</v>
      </c>
      <c r="AI16" s="119">
        <v>0.1</v>
      </c>
      <c r="AJ16" s="119">
        <v>0</v>
      </c>
      <c r="AK16" s="119">
        <f t="shared" si="5"/>
        <v>0.1</v>
      </c>
      <c r="AM16" s="118" t="s">
        <v>12</v>
      </c>
      <c r="AN16" s="118" t="s">
        <v>9</v>
      </c>
      <c r="AO16" s="119">
        <v>0.12</v>
      </c>
      <c r="AP16" s="119">
        <v>0</v>
      </c>
      <c r="AQ16" s="119">
        <v>0.12</v>
      </c>
      <c r="AS16" s="118" t="s">
        <v>12</v>
      </c>
      <c r="AT16" s="118" t="s">
        <v>9</v>
      </c>
      <c r="AU16" s="119">
        <v>0.15</v>
      </c>
      <c r="AV16" s="119">
        <v>0</v>
      </c>
      <c r="AW16" s="119">
        <f t="shared" si="6"/>
        <v>0.15</v>
      </c>
      <c r="AX16" s="118"/>
      <c r="AY16" s="118"/>
      <c r="BA16" s="118" t="s">
        <v>13</v>
      </c>
      <c r="BB16" s="118" t="s">
        <v>14</v>
      </c>
      <c r="BC16" s="120">
        <v>0.01</v>
      </c>
      <c r="BD16" s="120">
        <v>0</v>
      </c>
      <c r="BE16" s="120">
        <f t="shared" si="7"/>
        <v>0.01</v>
      </c>
      <c r="BF16" s="118"/>
      <c r="BG16" s="118"/>
    </row>
    <row r="17" spans="3:59" x14ac:dyDescent="0.25">
      <c r="C17" s="118" t="s">
        <v>16</v>
      </c>
      <c r="D17" s="118" t="s">
        <v>63</v>
      </c>
      <c r="E17" s="307">
        <v>0.01</v>
      </c>
      <c r="F17" s="307">
        <v>0</v>
      </c>
      <c r="G17" s="119">
        <f t="shared" si="0"/>
        <v>0.01</v>
      </c>
      <c r="I17" s="118" t="s">
        <v>16</v>
      </c>
      <c r="J17" s="118" t="s">
        <v>63</v>
      </c>
      <c r="K17" s="307">
        <v>0.01</v>
      </c>
      <c r="L17" s="307">
        <v>0</v>
      </c>
      <c r="M17" s="119">
        <f t="shared" si="8"/>
        <v>0.01</v>
      </c>
      <c r="O17" s="118" t="s">
        <v>12</v>
      </c>
      <c r="P17" s="118" t="s">
        <v>9</v>
      </c>
      <c r="Q17" s="307">
        <v>0.05</v>
      </c>
      <c r="R17" s="307">
        <v>0</v>
      </c>
      <c r="S17" s="119">
        <f t="shared" si="2"/>
        <v>0.05</v>
      </c>
      <c r="U17" s="118" t="s">
        <v>12</v>
      </c>
      <c r="V17" s="118" t="s">
        <v>9</v>
      </c>
      <c r="W17" s="119">
        <v>0.1</v>
      </c>
      <c r="X17" s="119">
        <v>0</v>
      </c>
      <c r="Y17" s="119">
        <f t="shared" si="3"/>
        <v>0.1</v>
      </c>
      <c r="AA17" s="118" t="s">
        <v>143</v>
      </c>
      <c r="AB17" s="118" t="s">
        <v>17</v>
      </c>
      <c r="AC17" s="119">
        <v>0.05</v>
      </c>
      <c r="AD17" s="119">
        <v>0</v>
      </c>
      <c r="AE17" s="119">
        <f t="shared" si="9"/>
        <v>0.05</v>
      </c>
      <c r="AG17" s="118" t="s">
        <v>10</v>
      </c>
      <c r="AH17" s="118" t="s">
        <v>15</v>
      </c>
      <c r="AI17" s="119">
        <v>7.0000000000000007E-2</v>
      </c>
      <c r="AJ17" s="119">
        <v>0</v>
      </c>
      <c r="AK17" s="119">
        <f t="shared" si="5"/>
        <v>7.0000000000000007E-2</v>
      </c>
      <c r="AM17" s="118" t="s">
        <v>10</v>
      </c>
      <c r="AN17" s="118" t="s">
        <v>15</v>
      </c>
      <c r="AO17" s="119">
        <v>7.0000000000000007E-2</v>
      </c>
      <c r="AP17" s="119">
        <v>0</v>
      </c>
      <c r="AQ17" s="119">
        <v>7.0000000000000007E-2</v>
      </c>
      <c r="AS17" s="118" t="s">
        <v>10</v>
      </c>
      <c r="AT17" s="118" t="s">
        <v>15</v>
      </c>
      <c r="AU17" s="119">
        <v>7.0000000000000007E-2</v>
      </c>
      <c r="AV17" s="119">
        <v>0</v>
      </c>
      <c r="AW17" s="119">
        <f t="shared" si="6"/>
        <v>7.0000000000000007E-2</v>
      </c>
      <c r="AX17" s="118"/>
      <c r="AY17" s="118"/>
      <c r="BA17" s="118" t="s">
        <v>16</v>
      </c>
      <c r="BB17" s="118" t="s">
        <v>63</v>
      </c>
      <c r="BC17" s="120">
        <v>0.02</v>
      </c>
      <c r="BD17" s="120">
        <v>0</v>
      </c>
      <c r="BE17" s="120">
        <f t="shared" si="7"/>
        <v>0.02</v>
      </c>
      <c r="BF17" s="118"/>
      <c r="BG17" s="118"/>
    </row>
    <row r="18" spans="3:59" x14ac:dyDescent="0.25">
      <c r="C18" s="118" t="s">
        <v>171</v>
      </c>
      <c r="D18" s="118" t="s">
        <v>159</v>
      </c>
      <c r="E18" s="307">
        <v>0.01</v>
      </c>
      <c r="F18" s="307">
        <v>0</v>
      </c>
      <c r="G18" s="119">
        <f t="shared" si="0"/>
        <v>0.01</v>
      </c>
      <c r="I18" s="118" t="s">
        <v>171</v>
      </c>
      <c r="J18" s="118" t="s">
        <v>159</v>
      </c>
      <c r="K18" s="307">
        <v>0.01</v>
      </c>
      <c r="L18" s="307">
        <v>0</v>
      </c>
      <c r="M18" s="119">
        <f t="shared" si="8"/>
        <v>0.01</v>
      </c>
      <c r="O18" s="118" t="s">
        <v>10</v>
      </c>
      <c r="P18" s="118" t="s">
        <v>15</v>
      </c>
      <c r="Q18" s="307">
        <v>0.05</v>
      </c>
      <c r="R18" s="307">
        <v>0</v>
      </c>
      <c r="S18" s="119">
        <f t="shared" si="2"/>
        <v>0.05</v>
      </c>
      <c r="U18" s="118" t="s">
        <v>10</v>
      </c>
      <c r="V18" s="118" t="s">
        <v>15</v>
      </c>
      <c r="W18" s="119">
        <v>0.05</v>
      </c>
      <c r="X18" s="119">
        <v>0</v>
      </c>
      <c r="Y18" s="119">
        <f t="shared" si="3"/>
        <v>0.05</v>
      </c>
      <c r="AA18" s="118" t="s">
        <v>16</v>
      </c>
      <c r="AB18" s="118" t="s">
        <v>63</v>
      </c>
      <c r="AC18" s="119">
        <v>0.04</v>
      </c>
      <c r="AD18" s="119">
        <v>0</v>
      </c>
      <c r="AE18" s="119">
        <f t="shared" si="9"/>
        <v>0.04</v>
      </c>
      <c r="AG18" s="118" t="s">
        <v>143</v>
      </c>
      <c r="AH18" s="118" t="s">
        <v>17</v>
      </c>
      <c r="AI18" s="119">
        <v>0.05</v>
      </c>
      <c r="AJ18" s="119">
        <v>0</v>
      </c>
      <c r="AK18" s="119">
        <f t="shared" si="5"/>
        <v>0.05</v>
      </c>
      <c r="AM18" s="118" t="s">
        <v>143</v>
      </c>
      <c r="AN18" s="118" t="s">
        <v>17</v>
      </c>
      <c r="AO18" s="119">
        <v>0.05</v>
      </c>
      <c r="AP18" s="119">
        <v>0</v>
      </c>
      <c r="AQ18" s="119">
        <v>0.05</v>
      </c>
      <c r="AS18" s="118" t="s">
        <v>13</v>
      </c>
      <c r="AT18" s="118" t="s">
        <v>17</v>
      </c>
      <c r="AU18" s="119">
        <v>0.09</v>
      </c>
      <c r="AV18" s="119">
        <v>0</v>
      </c>
      <c r="AW18" s="119">
        <f t="shared" si="6"/>
        <v>0.09</v>
      </c>
      <c r="AX18" s="118"/>
      <c r="AY18" s="118"/>
    </row>
    <row r="19" spans="3:59" x14ac:dyDescent="0.25">
      <c r="C19" s="125" t="s">
        <v>273</v>
      </c>
      <c r="D19" s="125" t="s">
        <v>274</v>
      </c>
      <c r="E19" s="126">
        <v>0.9</v>
      </c>
      <c r="F19" s="126">
        <v>0.1</v>
      </c>
      <c r="G19" s="126">
        <f>SUM(E19:F19)</f>
        <v>1</v>
      </c>
      <c r="I19" s="125" t="s">
        <v>273</v>
      </c>
      <c r="J19" s="125" t="s">
        <v>274</v>
      </c>
      <c r="K19" s="126">
        <v>0.9</v>
      </c>
      <c r="L19" s="126">
        <v>0.1</v>
      </c>
      <c r="M19" s="126">
        <f>SUM(K19:L19)</f>
        <v>1</v>
      </c>
      <c r="O19" s="118" t="s">
        <v>16</v>
      </c>
      <c r="P19" s="118" t="s">
        <v>63</v>
      </c>
      <c r="Q19" s="307">
        <v>0.01</v>
      </c>
      <c r="R19" s="307">
        <v>0</v>
      </c>
      <c r="S19" s="119">
        <f t="shared" si="2"/>
        <v>0.01</v>
      </c>
      <c r="U19" s="118" t="s">
        <v>16</v>
      </c>
      <c r="V19" s="118" t="s">
        <v>63</v>
      </c>
      <c r="W19" s="119">
        <v>0.05</v>
      </c>
      <c r="X19" s="119">
        <v>0</v>
      </c>
      <c r="Y19" s="119">
        <f t="shared" si="3"/>
        <v>0.05</v>
      </c>
      <c r="AA19" s="118" t="s">
        <v>171</v>
      </c>
      <c r="AB19" s="118" t="s">
        <v>159</v>
      </c>
      <c r="AC19" s="119">
        <v>0.02</v>
      </c>
      <c r="AD19" s="119">
        <v>0</v>
      </c>
      <c r="AE19" s="119">
        <f t="shared" ref="AE19" si="10">SUM(AC19:AD19)</f>
        <v>0.02</v>
      </c>
      <c r="AG19" s="118" t="s">
        <v>16</v>
      </c>
      <c r="AH19" s="118" t="s">
        <v>63</v>
      </c>
      <c r="AI19" s="119">
        <v>0.04</v>
      </c>
      <c r="AJ19" s="119">
        <v>0</v>
      </c>
      <c r="AK19" s="119">
        <f t="shared" si="5"/>
        <v>0.04</v>
      </c>
      <c r="AM19" s="118" t="s">
        <v>16</v>
      </c>
      <c r="AN19" s="118" t="s">
        <v>63</v>
      </c>
      <c r="AO19" s="119">
        <v>0.03</v>
      </c>
      <c r="AP19" s="119">
        <v>0</v>
      </c>
      <c r="AQ19" s="119">
        <v>0.03</v>
      </c>
      <c r="AS19" s="118" t="s">
        <v>16</v>
      </c>
      <c r="AT19" s="118" t="s">
        <v>63</v>
      </c>
      <c r="AU19" s="119">
        <v>0.03</v>
      </c>
      <c r="AV19" s="119">
        <v>0</v>
      </c>
      <c r="AW19" s="119">
        <f t="shared" si="6"/>
        <v>0.03</v>
      </c>
      <c r="AX19" s="118"/>
      <c r="AY19" s="118"/>
      <c r="BC19" s="123">
        <f>SUM(BC7:BC17)</f>
        <v>0.69000000000000006</v>
      </c>
      <c r="BD19" s="123">
        <f>SUM(BD7:BD17)</f>
        <v>0.59000000000000008</v>
      </c>
      <c r="BE19" s="123">
        <f>SUM(BE7:BE17)</f>
        <v>1.2800000000000002</v>
      </c>
      <c r="BF19" s="124">
        <f>100000*1.4</f>
        <v>140000</v>
      </c>
      <c r="BG19" s="124">
        <f>BF19*BE19</f>
        <v>179200.00000000003</v>
      </c>
    </row>
    <row r="20" spans="3:59" x14ac:dyDescent="0.25">
      <c r="D20" s="133" t="s">
        <v>28</v>
      </c>
      <c r="E20" s="128">
        <f>SUM(E7:E19)</f>
        <v>2.1</v>
      </c>
      <c r="F20" s="128">
        <f>SUM(F7:F19)</f>
        <v>0.4</v>
      </c>
      <c r="G20" s="128">
        <f>SUM(G7:G19)</f>
        <v>2.5</v>
      </c>
      <c r="J20" s="133" t="s">
        <v>28</v>
      </c>
      <c r="K20" s="128">
        <f>SUM(K7:K19)</f>
        <v>2.0100000000000002</v>
      </c>
      <c r="L20" s="128">
        <f>SUM(L7:L19)</f>
        <v>0.31999999999999995</v>
      </c>
      <c r="M20" s="128">
        <f>SUM(M7:M19)</f>
        <v>2.33</v>
      </c>
      <c r="O20" s="118" t="s">
        <v>171</v>
      </c>
      <c r="P20" s="118" t="s">
        <v>159</v>
      </c>
      <c r="Q20" s="307">
        <v>0.01</v>
      </c>
      <c r="R20" s="307">
        <v>0</v>
      </c>
      <c r="S20" s="119">
        <f t="shared" si="2"/>
        <v>0.01</v>
      </c>
      <c r="U20" s="118" t="s">
        <v>171</v>
      </c>
      <c r="V20" s="118" t="s">
        <v>159</v>
      </c>
      <c r="W20" s="119">
        <v>0.05</v>
      </c>
      <c r="X20" s="119">
        <v>0</v>
      </c>
      <c r="Y20" s="119">
        <f t="shared" si="3"/>
        <v>0.05</v>
      </c>
      <c r="AA20" s="125"/>
      <c r="AB20" s="125" t="s">
        <v>150</v>
      </c>
      <c r="AC20" s="126">
        <v>0.8</v>
      </c>
      <c r="AD20" s="126">
        <v>0.2</v>
      </c>
      <c r="AE20" s="126">
        <f>SUM(AC20:AD20)</f>
        <v>1</v>
      </c>
      <c r="AG20" s="125" t="s">
        <v>149</v>
      </c>
      <c r="AH20" s="125" t="s">
        <v>150</v>
      </c>
      <c r="AI20" s="126">
        <v>0.4</v>
      </c>
      <c r="AJ20" s="126">
        <v>0.6</v>
      </c>
      <c r="AK20" s="126">
        <f t="shared" si="5"/>
        <v>1</v>
      </c>
      <c r="AN20" s="127" t="s">
        <v>28</v>
      </c>
      <c r="AO20" s="128">
        <v>1.5140000000000005</v>
      </c>
      <c r="AP20" s="128">
        <v>0.84000000000000008</v>
      </c>
      <c r="AQ20" s="128">
        <v>2.3539999999999996</v>
      </c>
      <c r="AT20" s="129" t="s">
        <v>28</v>
      </c>
      <c r="AU20" s="130">
        <f>SUM(AU7:AU19)</f>
        <v>1.5100000000000002</v>
      </c>
      <c r="AV20" s="130">
        <f t="shared" ref="AV20:AW20" si="11">SUM(AV7:AV19)</f>
        <v>0.9700000000000002</v>
      </c>
      <c r="AW20" s="130">
        <f t="shared" si="11"/>
        <v>2.4799999999999991</v>
      </c>
      <c r="AX20" s="131">
        <v>160000</v>
      </c>
      <c r="AY20" s="131">
        <f>AX20*AW20</f>
        <v>396799.99999999988</v>
      </c>
      <c r="BC20" s="132">
        <f>BC19/$BE$19</f>
        <v>0.53906249999999989</v>
      </c>
      <c r="BD20" s="132">
        <f>BD19/$BE$19</f>
        <v>0.4609375</v>
      </c>
    </row>
    <row r="21" spans="3:59" x14ac:dyDescent="0.25">
      <c r="E21" s="279"/>
      <c r="F21" s="279"/>
      <c r="G21" s="111">
        <f>G25+135000</f>
        <v>335624</v>
      </c>
      <c r="K21" s="279"/>
      <c r="L21" s="279"/>
      <c r="M21" s="111">
        <f>M25+135000</f>
        <v>335624</v>
      </c>
      <c r="O21" s="125" t="s">
        <v>210</v>
      </c>
      <c r="P21" s="125" t="s">
        <v>150</v>
      </c>
      <c r="Q21" s="126">
        <v>0.9</v>
      </c>
      <c r="R21" s="126">
        <v>0.1</v>
      </c>
      <c r="S21" s="126">
        <f>SUM(Q21:R21)</f>
        <v>1</v>
      </c>
      <c r="U21" s="125" t="s">
        <v>210</v>
      </c>
      <c r="V21" s="125" t="s">
        <v>150</v>
      </c>
      <c r="W21" s="126">
        <v>0.9</v>
      </c>
      <c r="X21" s="126">
        <v>0.1</v>
      </c>
      <c r="Y21" s="126">
        <f>SUM(W21:X21)</f>
        <v>1</v>
      </c>
      <c r="AB21" s="133" t="s">
        <v>28</v>
      </c>
      <c r="AC21" s="128">
        <f>SUM(AC7:AC20)</f>
        <v>2.0300000000000002</v>
      </c>
      <c r="AD21" s="128">
        <f>SUM(AD7:AD20)</f>
        <v>0.76</v>
      </c>
      <c r="AE21" s="128">
        <f>SUM(AE7:AE20)</f>
        <v>2.7900000000000005</v>
      </c>
      <c r="AH21" s="133" t="s">
        <v>28</v>
      </c>
      <c r="AI21" s="128">
        <f>SUM(AI7:AI20)</f>
        <v>1.2600000000000002</v>
      </c>
      <c r="AJ21" s="128">
        <f>SUM(AJ7:AJ20)</f>
        <v>1.3599999999999999</v>
      </c>
      <c r="AK21" s="128">
        <f>SUM(AK7:AK20)</f>
        <v>2.6200000000000006</v>
      </c>
      <c r="AO21" s="111">
        <v>242240.00000000009</v>
      </c>
      <c r="AP21" s="111">
        <v>134400</v>
      </c>
      <c r="AQ21" s="111">
        <v>376639.99999999994</v>
      </c>
      <c r="AU21" s="134">
        <f>AU20*$AX$20</f>
        <v>241600.00000000003</v>
      </c>
      <c r="AV21" s="134">
        <f t="shared" ref="AV21:AW21" si="12">AV20*$AX$20</f>
        <v>155200.00000000003</v>
      </c>
      <c r="AW21" s="134">
        <f t="shared" si="12"/>
        <v>396799.99999999988</v>
      </c>
      <c r="BC21" s="135">
        <f>BG19*BD20</f>
        <v>82600.000000000015</v>
      </c>
      <c r="BD21" s="135">
        <f>BG19*BC20</f>
        <v>96600</v>
      </c>
    </row>
    <row r="22" spans="3:59" ht="15" customHeight="1" x14ac:dyDescent="0.25">
      <c r="E22" s="264"/>
      <c r="F22" s="264"/>
      <c r="G22" s="264"/>
      <c r="K22" s="264"/>
      <c r="L22" s="264"/>
      <c r="M22" s="264"/>
      <c r="P22" s="133" t="s">
        <v>28</v>
      </c>
      <c r="Q22" s="128">
        <f>SUM(Q7:Q21)</f>
        <v>1.5700000000000003</v>
      </c>
      <c r="R22" s="128">
        <f>SUM(R7:R21)</f>
        <v>0.41000000000000003</v>
      </c>
      <c r="S22" s="128">
        <f>SUM(S7:S21)</f>
        <v>1.9800000000000002</v>
      </c>
      <c r="V22" s="133" t="s">
        <v>28</v>
      </c>
      <c r="W22" s="128">
        <f>SUM(W7:W21)</f>
        <v>2.12</v>
      </c>
      <c r="X22" s="128">
        <f>SUM(X7:X21)</f>
        <v>0.53999999999999992</v>
      </c>
      <c r="Y22" s="128">
        <f>SUM(Y7:Y21)</f>
        <v>2.66</v>
      </c>
      <c r="AC22" s="111">
        <f>AC21*$AC$2</f>
        <v>324800.00000000006</v>
      </c>
      <c r="AD22" s="111">
        <f>AD21*$AC$2</f>
        <v>121600</v>
      </c>
      <c r="AE22" s="111">
        <f>AE21*$AC$2</f>
        <v>446400.00000000006</v>
      </c>
      <c r="AI22" s="111">
        <f>AI21*$AC$2</f>
        <v>201600.00000000003</v>
      </c>
      <c r="AJ22" s="111">
        <f>AJ21*$AC$2</f>
        <v>217599.99999999997</v>
      </c>
      <c r="AK22" s="111">
        <f>AK21*$AC$2</f>
        <v>419200.00000000012</v>
      </c>
    </row>
    <row r="23" spans="3:59" ht="15" customHeight="1" x14ac:dyDescent="0.25">
      <c r="D23" s="112" t="s">
        <v>157</v>
      </c>
      <c r="J23" s="112" t="s">
        <v>157</v>
      </c>
      <c r="Q23" s="279"/>
      <c r="R23" s="279"/>
      <c r="S23" s="111">
        <f>S27+120000</f>
        <v>320624</v>
      </c>
      <c r="W23" s="279"/>
      <c r="X23" s="279"/>
      <c r="Y23" s="111">
        <f>Y27+120000</f>
        <v>320624</v>
      </c>
    </row>
    <row r="24" spans="3:59" ht="15" customHeight="1" x14ac:dyDescent="0.25">
      <c r="D24" s="127" t="s">
        <v>28</v>
      </c>
      <c r="E24" s="128">
        <f>SUM(E7:E18)</f>
        <v>1.2000000000000002</v>
      </c>
      <c r="F24" s="128">
        <f>SUM(F7:F18)</f>
        <v>0.30000000000000004</v>
      </c>
      <c r="G24" s="128">
        <f>SUM(G7:G18)</f>
        <v>1.5000000000000002</v>
      </c>
      <c r="J24" s="127" t="s">
        <v>28</v>
      </c>
      <c r="K24" s="128">
        <f>SUM(K7:K18)</f>
        <v>1.1100000000000001</v>
      </c>
      <c r="L24" s="128">
        <f>SUM(L7:L18)</f>
        <v>0.21999999999999997</v>
      </c>
      <c r="M24" s="128">
        <f>SUM(M7:M18)</f>
        <v>1.33</v>
      </c>
      <c r="Q24" s="264"/>
      <c r="R24" s="264"/>
      <c r="S24" s="264"/>
      <c r="W24" s="264"/>
      <c r="X24" s="264"/>
      <c r="Y24" s="264"/>
      <c r="AB24" s="112" t="s">
        <v>157</v>
      </c>
      <c r="AH24" s="112" t="s">
        <v>157</v>
      </c>
    </row>
    <row r="25" spans="3:59" x14ac:dyDescent="0.25">
      <c r="E25" s="279"/>
      <c r="F25" s="279"/>
      <c r="G25" s="111">
        <v>200624</v>
      </c>
      <c r="K25" s="279"/>
      <c r="L25" s="279"/>
      <c r="M25" s="111">
        <v>200624</v>
      </c>
      <c r="P25" s="112" t="s">
        <v>157</v>
      </c>
      <c r="V25" s="112" t="s">
        <v>157</v>
      </c>
      <c r="AB25" s="127" t="s">
        <v>28</v>
      </c>
      <c r="AC25" s="128">
        <f>SUM(AC7:AC19)</f>
        <v>1.2300000000000002</v>
      </c>
      <c r="AD25" s="128">
        <f>SUM(AD7:AD19)</f>
        <v>0.56000000000000005</v>
      </c>
      <c r="AE25" s="128">
        <f>SUM(AE7:AE19)</f>
        <v>1.7900000000000005</v>
      </c>
      <c r="AH25" s="127" t="s">
        <v>28</v>
      </c>
      <c r="AI25" s="128">
        <f>SUM(AI7:AI19)</f>
        <v>0.8600000000000001</v>
      </c>
      <c r="AJ25" s="128">
        <f t="shared" ref="AJ25:AK25" si="13">SUM(AJ7:AJ19)</f>
        <v>0.76</v>
      </c>
      <c r="AK25" s="128">
        <f t="shared" si="13"/>
        <v>1.6200000000000006</v>
      </c>
    </row>
    <row r="26" spans="3:59" x14ac:dyDescent="0.25">
      <c r="J26"/>
      <c r="K26"/>
      <c r="L26"/>
      <c r="M26"/>
      <c r="N26"/>
      <c r="P26" s="127" t="s">
        <v>28</v>
      </c>
      <c r="Q26" s="128">
        <f>SUM(Q7:Q20)</f>
        <v>0.67000000000000015</v>
      </c>
      <c r="R26" s="128">
        <f>SUM(R7:R20)</f>
        <v>0.31000000000000005</v>
      </c>
      <c r="S26" s="128">
        <f>SUM(S7:S20)</f>
        <v>0.9800000000000002</v>
      </c>
      <c r="V26" s="127" t="s">
        <v>28</v>
      </c>
      <c r="W26" s="128">
        <f>SUM(W7:W20)</f>
        <v>1.2200000000000002</v>
      </c>
      <c r="X26" s="128">
        <f>SUM(X7:X20)</f>
        <v>0.43999999999999995</v>
      </c>
      <c r="Y26" s="128">
        <f>SUM(Y7:Y20)</f>
        <v>1.6600000000000004</v>
      </c>
      <c r="AC26" s="111">
        <f>AC25*$AC$2</f>
        <v>196800.00000000003</v>
      </c>
      <c r="AD26" s="111">
        <f>AD25*$AC$2</f>
        <v>89600.000000000015</v>
      </c>
      <c r="AE26" s="111">
        <f>AE25*$AC$2</f>
        <v>286400.00000000006</v>
      </c>
      <c r="AI26" s="111">
        <f>AI25*$AC$2</f>
        <v>137600.00000000003</v>
      </c>
      <c r="AJ26" s="111">
        <f>AJ25*$AC$2</f>
        <v>121600</v>
      </c>
      <c r="AK26" s="111">
        <f>AK25*$AC$2</f>
        <v>259200.00000000009</v>
      </c>
    </row>
    <row r="27" spans="3:59" x14ac:dyDescent="0.25">
      <c r="F27" s="135"/>
      <c r="J27"/>
      <c r="K27"/>
      <c r="L27"/>
      <c r="M27"/>
      <c r="N27"/>
      <c r="Q27" s="279"/>
      <c r="R27" s="279"/>
      <c r="S27" s="111">
        <v>200624</v>
      </c>
      <c r="W27" s="279"/>
      <c r="X27" s="279"/>
      <c r="Y27" s="111">
        <v>200624</v>
      </c>
    </row>
    <row r="28" spans="3:59" x14ac:dyDescent="0.25">
      <c r="J28"/>
      <c r="K28"/>
      <c r="L28"/>
      <c r="M28"/>
      <c r="N28"/>
      <c r="W28" s="135"/>
      <c r="X28" s="135"/>
    </row>
    <row r="29" spans="3:59" x14ac:dyDescent="0.25">
      <c r="J29"/>
      <c r="K29"/>
      <c r="L29"/>
      <c r="M29"/>
      <c r="N29"/>
    </row>
  </sheetData>
  <phoneticPr fontId="8" type="noConversion"/>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heetViews>
  <sheetFormatPr defaultColWidth="8.85546875" defaultRowHeight="15" x14ac:dyDescent="0.25"/>
  <cols>
    <col min="1" max="1" width="33.85546875" customWidth="1"/>
    <col min="2" max="2" width="16" customWidth="1"/>
    <col min="3" max="3" width="13.28515625" bestFit="1" customWidth="1"/>
    <col min="4" max="4" width="13.85546875" bestFit="1" customWidth="1"/>
    <col min="5" max="8" width="12.7109375" bestFit="1" customWidth="1"/>
  </cols>
  <sheetData>
    <row r="1" spans="1:8" ht="18.75" x14ac:dyDescent="0.3">
      <c r="A1" s="166" t="s">
        <v>117</v>
      </c>
    </row>
    <row r="3" spans="1:8" ht="16.5" thickBot="1" x14ac:dyDescent="0.3">
      <c r="A3" s="207" t="s">
        <v>172</v>
      </c>
      <c r="B3" s="208"/>
      <c r="C3" s="208"/>
      <c r="D3" s="208"/>
      <c r="E3" s="208"/>
      <c r="F3" s="208"/>
      <c r="G3" s="208"/>
      <c r="H3" s="208"/>
    </row>
    <row r="4" spans="1:8" ht="16.5" thickBot="1" x14ac:dyDescent="0.3">
      <c r="A4" s="453" t="s">
        <v>100</v>
      </c>
      <c r="B4" s="456" t="s">
        <v>173</v>
      </c>
      <c r="C4" s="459" t="s">
        <v>174</v>
      </c>
      <c r="D4" s="459"/>
      <c r="E4" s="459"/>
      <c r="F4" s="459"/>
      <c r="G4" s="459"/>
      <c r="H4" s="460"/>
    </row>
    <row r="5" spans="1:8" ht="16.5" thickBot="1" x14ac:dyDescent="0.3">
      <c r="A5" s="454"/>
      <c r="B5" s="457"/>
      <c r="C5" s="209">
        <v>2015</v>
      </c>
      <c r="D5" s="209">
        <v>2016</v>
      </c>
      <c r="E5" s="209">
        <v>2017</v>
      </c>
      <c r="F5" s="209">
        <v>2018</v>
      </c>
      <c r="G5" s="209">
        <v>2019</v>
      </c>
      <c r="H5" s="210" t="s">
        <v>103</v>
      </c>
    </row>
    <row r="6" spans="1:8" ht="22.5" customHeight="1" thickBot="1" x14ac:dyDescent="0.3">
      <c r="A6" s="455"/>
      <c r="B6" s="458"/>
      <c r="C6" s="211">
        <f>ROUND('[1]Category (2014-2016)'!D39,-3)</f>
        <v>1670000</v>
      </c>
      <c r="D6" s="211">
        <f>ROUND('[1]Category (2014-2016)'!E39,-3)</f>
        <v>1696000</v>
      </c>
      <c r="E6" s="211">
        <f>ROUND('[1]Category (2014-2016)'!F39,-3)</f>
        <v>1825000</v>
      </c>
      <c r="F6" s="211">
        <f>ROUND('[1]Category (2014-2016)'!G39,-3)</f>
        <v>1870000</v>
      </c>
      <c r="G6" s="211">
        <f>ROUND('[1]Category (2014-2016)'!H39,-3)</f>
        <v>1912000</v>
      </c>
      <c r="H6" s="212">
        <f>SUM(C6:G6)</f>
        <v>8973000</v>
      </c>
    </row>
    <row r="7" spans="1:8" ht="15.75" x14ac:dyDescent="0.25">
      <c r="A7" s="213" t="s">
        <v>104</v>
      </c>
      <c r="B7" s="301">
        <v>0.36042000000000002</v>
      </c>
      <c r="C7" s="214">
        <f>ROUND(C$6*($B7*(1/$B$20)),-2)</f>
        <v>607800</v>
      </c>
      <c r="D7" s="214">
        <f>ROUND(D$6*($B7*(1/$B$20)),-2)</f>
        <v>617200</v>
      </c>
      <c r="E7" s="358">
        <f t="shared" ref="E7:G7" si="0">ROUND(E$6*($B7*(1/$B$20)),-2)</f>
        <v>664200</v>
      </c>
      <c r="F7" s="358">
        <f t="shared" si="0"/>
        <v>680600</v>
      </c>
      <c r="G7" s="215">
        <f t="shared" si="0"/>
        <v>695900</v>
      </c>
      <c r="H7" s="216">
        <f>SUM(C7:G7)</f>
        <v>3265700</v>
      </c>
    </row>
    <row r="8" spans="1:8" ht="15.75" x14ac:dyDescent="0.25">
      <c r="A8" s="158" t="s">
        <v>105</v>
      </c>
      <c r="B8" s="302">
        <v>0.20146</v>
      </c>
      <c r="C8" s="217">
        <f t="shared" ref="C8:G19" si="1">ROUND(C$6*($B8*(1/$B$20)),-2)</f>
        <v>339700</v>
      </c>
      <c r="D8" s="217">
        <f t="shared" si="1"/>
        <v>345000</v>
      </c>
      <c r="E8" s="359">
        <f t="shared" si="1"/>
        <v>371300</v>
      </c>
      <c r="F8" s="359">
        <f t="shared" si="1"/>
        <v>380400</v>
      </c>
      <c r="G8" s="218">
        <f t="shared" si="1"/>
        <v>389000</v>
      </c>
      <c r="H8" s="219">
        <f t="shared" ref="H8:H19" si="2">SUM(C8:G8)</f>
        <v>1825400</v>
      </c>
    </row>
    <row r="9" spans="1:8" ht="15.75" x14ac:dyDescent="0.25">
      <c r="A9" s="158" t="s">
        <v>106</v>
      </c>
      <c r="B9" s="302">
        <v>0.14138999999999999</v>
      </c>
      <c r="C9" s="217">
        <f t="shared" si="1"/>
        <v>238400</v>
      </c>
      <c r="D9" s="217">
        <f t="shared" si="1"/>
        <v>242100</v>
      </c>
      <c r="E9" s="359">
        <f t="shared" si="1"/>
        <v>260600</v>
      </c>
      <c r="F9" s="359">
        <f t="shared" si="1"/>
        <v>267000</v>
      </c>
      <c r="G9" s="218">
        <f t="shared" si="1"/>
        <v>273000</v>
      </c>
      <c r="H9" s="219">
        <f t="shared" si="2"/>
        <v>1281100</v>
      </c>
    </row>
    <row r="10" spans="1:8" ht="15.75" x14ac:dyDescent="0.25">
      <c r="A10" s="158" t="s">
        <v>107</v>
      </c>
      <c r="B10" s="302">
        <v>8.9660000000000004E-2</v>
      </c>
      <c r="C10" s="217">
        <f t="shared" si="1"/>
        <v>151200</v>
      </c>
      <c r="D10" s="217">
        <f t="shared" si="1"/>
        <v>153500</v>
      </c>
      <c r="E10" s="359">
        <f t="shared" si="1"/>
        <v>165200</v>
      </c>
      <c r="F10" s="359">
        <f t="shared" si="1"/>
        <v>169300</v>
      </c>
      <c r="G10" s="218">
        <f t="shared" si="1"/>
        <v>173100</v>
      </c>
      <c r="H10" s="219">
        <f t="shared" si="2"/>
        <v>812300</v>
      </c>
    </row>
    <row r="11" spans="1:8" ht="15.75" x14ac:dyDescent="0.25">
      <c r="A11" s="158" t="s">
        <v>108</v>
      </c>
      <c r="B11" s="302">
        <v>5.7419999999999999E-2</v>
      </c>
      <c r="C11" s="217">
        <f t="shared" si="1"/>
        <v>96800</v>
      </c>
      <c r="D11" s="217">
        <f t="shared" si="1"/>
        <v>98300</v>
      </c>
      <c r="E11" s="359">
        <f t="shared" si="1"/>
        <v>105800</v>
      </c>
      <c r="F11" s="359">
        <f t="shared" si="1"/>
        <v>108400</v>
      </c>
      <c r="G11" s="218">
        <f t="shared" si="1"/>
        <v>110900</v>
      </c>
      <c r="H11" s="219">
        <f t="shared" si="2"/>
        <v>520200</v>
      </c>
    </row>
    <row r="12" spans="1:8" ht="15.75" x14ac:dyDescent="0.25">
      <c r="A12" s="158" t="s">
        <v>175</v>
      </c>
      <c r="B12" s="302">
        <v>2.5430000000000001E-2</v>
      </c>
      <c r="C12" s="217">
        <f t="shared" si="1"/>
        <v>42900</v>
      </c>
      <c r="D12" s="217">
        <f t="shared" si="1"/>
        <v>43600</v>
      </c>
      <c r="E12" s="359">
        <f t="shared" si="1"/>
        <v>46900</v>
      </c>
      <c r="F12" s="359">
        <f t="shared" si="1"/>
        <v>48000</v>
      </c>
      <c r="G12" s="218">
        <f t="shared" si="1"/>
        <v>49100</v>
      </c>
      <c r="H12" s="219">
        <f t="shared" si="2"/>
        <v>230500</v>
      </c>
    </row>
    <row r="13" spans="1:8" ht="15.75" x14ac:dyDescent="0.25">
      <c r="A13" s="158" t="s">
        <v>122</v>
      </c>
      <c r="B13" s="302">
        <v>4.0349999999999997E-2</v>
      </c>
      <c r="C13" s="220">
        <f>ROUND(C$30*(1/$B$20),-2)</f>
        <v>35700</v>
      </c>
      <c r="D13" s="220">
        <f t="shared" ref="D13:G13" si="3">ROUND(D$30*(1/$B$20),-2)</f>
        <v>36200</v>
      </c>
      <c r="E13" s="220">
        <f t="shared" si="3"/>
        <v>39000</v>
      </c>
      <c r="F13" s="220">
        <f t="shared" si="3"/>
        <v>40000</v>
      </c>
      <c r="G13" s="220">
        <f t="shared" si="3"/>
        <v>40900</v>
      </c>
      <c r="H13" s="221">
        <f t="shared" si="2"/>
        <v>191800</v>
      </c>
    </row>
    <row r="14" spans="1:8" ht="15.75" x14ac:dyDescent="0.25">
      <c r="A14" s="158" t="s">
        <v>110</v>
      </c>
      <c r="B14" s="302">
        <v>3.6549999999999999E-2</v>
      </c>
      <c r="C14" s="217">
        <f t="shared" si="1"/>
        <v>61600</v>
      </c>
      <c r="D14" s="217">
        <f t="shared" si="1"/>
        <v>62600</v>
      </c>
      <c r="E14" s="359">
        <f t="shared" si="1"/>
        <v>67400</v>
      </c>
      <c r="F14" s="359">
        <f t="shared" si="1"/>
        <v>69000</v>
      </c>
      <c r="G14" s="218">
        <f t="shared" si="1"/>
        <v>70600</v>
      </c>
      <c r="H14" s="219">
        <f t="shared" si="2"/>
        <v>331200</v>
      </c>
    </row>
    <row r="15" spans="1:8" ht="15.75" x14ac:dyDescent="0.25">
      <c r="A15" s="158" t="s">
        <v>176</v>
      </c>
      <c r="B15" s="302">
        <v>1.3140000000000001E-2</v>
      </c>
      <c r="C15" s="217">
        <f t="shared" si="1"/>
        <v>22200</v>
      </c>
      <c r="D15" s="217">
        <f t="shared" si="1"/>
        <v>22500</v>
      </c>
      <c r="E15" s="359">
        <f t="shared" si="1"/>
        <v>24200</v>
      </c>
      <c r="F15" s="359">
        <f t="shared" si="1"/>
        <v>24800</v>
      </c>
      <c r="G15" s="218">
        <f t="shared" si="1"/>
        <v>25400</v>
      </c>
      <c r="H15" s="219">
        <f t="shared" si="2"/>
        <v>119100</v>
      </c>
    </row>
    <row r="16" spans="1:8" ht="15.75" x14ac:dyDescent="0.25">
      <c r="A16" s="158" t="s">
        <v>112</v>
      </c>
      <c r="B16" s="302">
        <v>1.0959999999999999E-2</v>
      </c>
      <c r="C16" s="217">
        <f t="shared" si="1"/>
        <v>18500</v>
      </c>
      <c r="D16" s="217">
        <f t="shared" si="1"/>
        <v>18800</v>
      </c>
      <c r="E16" s="359">
        <f t="shared" si="1"/>
        <v>20200</v>
      </c>
      <c r="F16" s="359">
        <f t="shared" si="1"/>
        <v>20700</v>
      </c>
      <c r="G16" s="218">
        <f t="shared" si="1"/>
        <v>21200</v>
      </c>
      <c r="H16" s="219">
        <f t="shared" si="2"/>
        <v>99400</v>
      </c>
    </row>
    <row r="17" spans="1:8" ht="15.75" x14ac:dyDescent="0.25">
      <c r="A17" s="158" t="s">
        <v>177</v>
      </c>
      <c r="B17" s="302">
        <v>6.5399999999999998E-3</v>
      </c>
      <c r="C17" s="217">
        <f t="shared" si="1"/>
        <v>11000</v>
      </c>
      <c r="D17" s="217">
        <f t="shared" si="1"/>
        <v>11200</v>
      </c>
      <c r="E17" s="359">
        <f t="shared" si="1"/>
        <v>12100</v>
      </c>
      <c r="F17" s="359">
        <f t="shared" si="1"/>
        <v>12300</v>
      </c>
      <c r="G17" s="218">
        <f t="shared" si="1"/>
        <v>12600</v>
      </c>
      <c r="H17" s="219">
        <f t="shared" si="2"/>
        <v>59200</v>
      </c>
    </row>
    <row r="18" spans="1:8" ht="15.75" x14ac:dyDescent="0.25">
      <c r="A18" s="158" t="s">
        <v>178</v>
      </c>
      <c r="B18" s="302">
        <v>3.1700000000000001E-3</v>
      </c>
      <c r="C18" s="217">
        <f t="shared" si="1"/>
        <v>5300</v>
      </c>
      <c r="D18" s="217">
        <f t="shared" si="1"/>
        <v>5400</v>
      </c>
      <c r="E18" s="359">
        <f t="shared" si="1"/>
        <v>5800</v>
      </c>
      <c r="F18" s="359">
        <f t="shared" si="1"/>
        <v>6000</v>
      </c>
      <c r="G18" s="218">
        <f t="shared" si="1"/>
        <v>6100</v>
      </c>
      <c r="H18" s="219">
        <f t="shared" si="2"/>
        <v>28600</v>
      </c>
    </row>
    <row r="19" spans="1:8" ht="16.5" thickBot="1" x14ac:dyDescent="0.3">
      <c r="A19" s="222" t="s">
        <v>179</v>
      </c>
      <c r="B19" s="302">
        <v>3.8300000000000001E-3</v>
      </c>
      <c r="C19" s="223">
        <f t="shared" si="1"/>
        <v>6500</v>
      </c>
      <c r="D19" s="223">
        <f t="shared" si="1"/>
        <v>6600</v>
      </c>
      <c r="E19" s="360">
        <f t="shared" si="1"/>
        <v>7100</v>
      </c>
      <c r="F19" s="360">
        <f t="shared" si="1"/>
        <v>7200</v>
      </c>
      <c r="G19" s="224">
        <f t="shared" si="1"/>
        <v>7400</v>
      </c>
      <c r="H19" s="225">
        <f t="shared" si="2"/>
        <v>34800</v>
      </c>
    </row>
    <row r="20" spans="1:8" ht="16.5" thickBot="1" x14ac:dyDescent="0.3">
      <c r="A20" s="162" t="s">
        <v>103</v>
      </c>
      <c r="B20" s="226">
        <f t="shared" ref="B20:H20" si="4">SUM(B7:B19)</f>
        <v>0.99031999999999998</v>
      </c>
      <c r="C20" s="164">
        <f t="shared" si="4"/>
        <v>1637600</v>
      </c>
      <c r="D20" s="164">
        <f>SUM(D7:D19)</f>
        <v>1663000</v>
      </c>
      <c r="E20" s="164">
        <f t="shared" si="4"/>
        <v>1789800</v>
      </c>
      <c r="F20" s="164">
        <f t="shared" si="4"/>
        <v>1833700</v>
      </c>
      <c r="G20" s="164">
        <f t="shared" si="4"/>
        <v>1875200</v>
      </c>
      <c r="H20" s="227">
        <f t="shared" si="4"/>
        <v>8799300</v>
      </c>
    </row>
    <row r="21" spans="1:8" x14ac:dyDescent="0.25">
      <c r="A21" s="228" t="s">
        <v>180</v>
      </c>
      <c r="B21" s="229"/>
      <c r="C21" s="229"/>
      <c r="D21" s="229"/>
      <c r="E21" s="229"/>
      <c r="F21" s="229"/>
      <c r="H21" s="230"/>
    </row>
    <row r="22" spans="1:8" ht="15.75" x14ac:dyDescent="0.25">
      <c r="A22" s="296" t="s">
        <v>231</v>
      </c>
    </row>
    <row r="24" spans="1:8" x14ac:dyDescent="0.25">
      <c r="A24" s="231" t="s">
        <v>181</v>
      </c>
      <c r="B24" s="232" t="s">
        <v>182</v>
      </c>
      <c r="C24" s="232">
        <v>2015</v>
      </c>
      <c r="D24" s="232">
        <v>2016</v>
      </c>
      <c r="E24" s="232">
        <v>2017</v>
      </c>
      <c r="F24" s="232">
        <v>2018</v>
      </c>
      <c r="G24" s="232">
        <v>2019</v>
      </c>
      <c r="H24" s="232" t="s">
        <v>103</v>
      </c>
    </row>
    <row r="25" spans="1:8" x14ac:dyDescent="0.25">
      <c r="A25" t="s">
        <v>183</v>
      </c>
      <c r="B25" s="233">
        <f>B40</f>
        <v>3.8128397802041913E-2</v>
      </c>
      <c r="C25" s="234"/>
      <c r="D25" s="234"/>
      <c r="E25" s="234"/>
      <c r="F25" s="234"/>
      <c r="G25" s="234"/>
      <c r="H25" s="234"/>
    </row>
    <row r="26" spans="1:8" x14ac:dyDescent="0.25">
      <c r="A26" t="s">
        <v>184</v>
      </c>
      <c r="B26" s="235">
        <f>1500000*B25</f>
        <v>57192.596703062867</v>
      </c>
      <c r="C26" s="236"/>
      <c r="D26" s="237"/>
      <c r="E26" s="237"/>
      <c r="F26" s="237"/>
      <c r="G26" s="237"/>
      <c r="H26" s="237"/>
    </row>
    <row r="27" spans="1:8" x14ac:dyDescent="0.25">
      <c r="A27" t="s">
        <v>185</v>
      </c>
      <c r="B27" s="235">
        <v>30000</v>
      </c>
      <c r="C27" s="238"/>
      <c r="D27" s="237"/>
      <c r="E27" s="237"/>
      <c r="F27" s="237"/>
      <c r="G27" s="237"/>
      <c r="H27" s="237"/>
    </row>
    <row r="28" spans="1:8" x14ac:dyDescent="0.25">
      <c r="A28" t="s">
        <v>186</v>
      </c>
      <c r="B28" s="239">
        <f>(B27/B26)</f>
        <v>0.52454341522131642</v>
      </c>
      <c r="C28" s="236"/>
      <c r="D28" s="236"/>
      <c r="E28" s="236"/>
      <c r="F28" s="236"/>
      <c r="G28" s="236"/>
      <c r="H28" s="237"/>
    </row>
    <row r="29" spans="1:8" x14ac:dyDescent="0.25">
      <c r="A29" t="s">
        <v>187</v>
      </c>
      <c r="B29" s="240">
        <f>B13</f>
        <v>4.0349999999999997E-2</v>
      </c>
      <c r="C29" s="237"/>
      <c r="D29" s="237"/>
      <c r="E29" s="237"/>
      <c r="F29" s="237"/>
      <c r="G29" s="237"/>
      <c r="H29" s="237"/>
    </row>
    <row r="30" spans="1:8" x14ac:dyDescent="0.25">
      <c r="A30" t="s">
        <v>188</v>
      </c>
      <c r="B30" s="241"/>
      <c r="C30" s="242">
        <f>$B$28*C6*$B$29</f>
        <v>35346.095762980796</v>
      </c>
      <c r="D30" s="242">
        <f t="shared" ref="D30:G30" si="5">$B$28*D6*$B$29</f>
        <v>35896.394259889472</v>
      </c>
      <c r="E30" s="242">
        <f t="shared" si="5"/>
        <v>38626.721417628716</v>
      </c>
      <c r="F30" s="242">
        <f t="shared" si="5"/>
        <v>39579.161123816819</v>
      </c>
      <c r="G30" s="242">
        <f t="shared" si="5"/>
        <v>40468.104849592382</v>
      </c>
      <c r="H30" s="243">
        <f>SUM(C30:G30)</f>
        <v>189916.4774139082</v>
      </c>
    </row>
    <row r="32" spans="1:8" ht="16.5" thickBot="1" x14ac:dyDescent="0.3">
      <c r="A32" s="207" t="s">
        <v>189</v>
      </c>
      <c r="B32" s="244">
        <v>1500000</v>
      </c>
      <c r="F32" s="2"/>
    </row>
    <row r="33" spans="1:6" ht="78.75" x14ac:dyDescent="0.25">
      <c r="A33" s="155" t="s">
        <v>100</v>
      </c>
      <c r="B33" s="156" t="s">
        <v>116</v>
      </c>
      <c r="C33" s="156" t="s">
        <v>101</v>
      </c>
      <c r="D33" s="157" t="s">
        <v>102</v>
      </c>
      <c r="E33" s="6"/>
      <c r="F33" s="7"/>
    </row>
    <row r="34" spans="1:6" ht="15.75" x14ac:dyDescent="0.25">
      <c r="A34" s="158" t="s">
        <v>104</v>
      </c>
      <c r="B34" s="245">
        <v>0.35491098436645985</v>
      </c>
      <c r="C34" s="159">
        <f t="shared" ref="C34:C46" si="6">$B$32*B34</f>
        <v>532366.47654968977</v>
      </c>
      <c r="D34" s="160">
        <f>ROUND(C34,-3)</f>
        <v>532000</v>
      </c>
      <c r="E34" s="6"/>
      <c r="F34" s="2"/>
    </row>
    <row r="35" spans="1:6" ht="15.75" x14ac:dyDescent="0.25">
      <c r="A35" s="158" t="s">
        <v>105</v>
      </c>
      <c r="B35" s="245">
        <v>0.20525957851608623</v>
      </c>
      <c r="C35" s="159">
        <f t="shared" si="6"/>
        <v>307889.36777412932</v>
      </c>
      <c r="D35" s="160">
        <f t="shared" ref="D35:D46" si="7">ROUND(C35,-3)</f>
        <v>308000</v>
      </c>
      <c r="E35" s="6"/>
    </row>
    <row r="36" spans="1:6" ht="15.75" x14ac:dyDescent="0.25">
      <c r="A36" s="158" t="s">
        <v>106</v>
      </c>
      <c r="B36" s="245">
        <v>0.13718045536284248</v>
      </c>
      <c r="C36" s="159">
        <f t="shared" si="6"/>
        <v>205770.68304426371</v>
      </c>
      <c r="D36" s="160">
        <f t="shared" si="7"/>
        <v>206000</v>
      </c>
      <c r="E36" s="6"/>
    </row>
    <row r="37" spans="1:6" ht="15.75" x14ac:dyDescent="0.25">
      <c r="A37" s="158" t="s">
        <v>107</v>
      </c>
      <c r="B37" s="245">
        <v>8.6172223450727434E-2</v>
      </c>
      <c r="C37" s="159">
        <f t="shared" si="6"/>
        <v>129258.33517609115</v>
      </c>
      <c r="D37" s="160">
        <f t="shared" si="7"/>
        <v>129000</v>
      </c>
      <c r="E37" s="6"/>
    </row>
    <row r="38" spans="1:6" ht="15.75" x14ac:dyDescent="0.25">
      <c r="A38" s="158" t="s">
        <v>108</v>
      </c>
      <c r="B38" s="245">
        <v>5.5301509948806102E-2</v>
      </c>
      <c r="C38" s="159">
        <f t="shared" si="6"/>
        <v>82952.26492320915</v>
      </c>
      <c r="D38" s="160">
        <f t="shared" si="7"/>
        <v>83000</v>
      </c>
      <c r="E38" s="6"/>
    </row>
    <row r="39" spans="1:6" ht="15.75" x14ac:dyDescent="0.25">
      <c r="A39" s="158" t="s">
        <v>109</v>
      </c>
      <c r="B39" s="245">
        <v>4.5079419385255989E-2</v>
      </c>
      <c r="C39" s="159">
        <f t="shared" si="6"/>
        <v>67619.12907788399</v>
      </c>
      <c r="D39" s="160">
        <f t="shared" si="7"/>
        <v>68000</v>
      </c>
      <c r="E39" s="6"/>
    </row>
    <row r="40" spans="1:6" ht="15.75" x14ac:dyDescent="0.25">
      <c r="A40" s="158" t="s">
        <v>122</v>
      </c>
      <c r="B40" s="245">
        <v>3.8128397802041913E-2</v>
      </c>
      <c r="C40" s="159">
        <f t="shared" si="6"/>
        <v>57192.596703062867</v>
      </c>
      <c r="D40" s="160">
        <v>30000</v>
      </c>
      <c r="E40" s="6"/>
    </row>
    <row r="41" spans="1:6" ht="15.75" x14ac:dyDescent="0.25">
      <c r="A41" s="158" t="s">
        <v>110</v>
      </c>
      <c r="B41" s="245">
        <v>3.7208409651322404E-2</v>
      </c>
      <c r="C41" s="159">
        <f t="shared" si="6"/>
        <v>55812.614476983603</v>
      </c>
      <c r="D41" s="160">
        <f t="shared" si="7"/>
        <v>56000</v>
      </c>
      <c r="E41" s="6"/>
    </row>
    <row r="42" spans="1:6" ht="15.75" x14ac:dyDescent="0.25">
      <c r="A42" s="158" t="s">
        <v>111</v>
      </c>
      <c r="B42" s="245">
        <v>1.3596423519987317E-2</v>
      </c>
      <c r="C42" s="159">
        <f t="shared" si="6"/>
        <v>20394.635279980976</v>
      </c>
      <c r="D42" s="160">
        <f t="shared" si="7"/>
        <v>20000</v>
      </c>
      <c r="E42" s="6"/>
      <c r="F42" s="6"/>
    </row>
    <row r="43" spans="1:6" ht="15.75" x14ac:dyDescent="0.25">
      <c r="A43" s="158" t="s">
        <v>112</v>
      </c>
      <c r="B43" s="245">
        <v>1.1244299619905123E-2</v>
      </c>
      <c r="C43" s="159">
        <f t="shared" si="6"/>
        <v>16866.449429857683</v>
      </c>
      <c r="D43" s="160">
        <f t="shared" si="7"/>
        <v>17000</v>
      </c>
      <c r="E43" s="6"/>
      <c r="F43" s="6"/>
    </row>
    <row r="44" spans="1:6" ht="15.75" x14ac:dyDescent="0.25">
      <c r="A44" s="158" t="s">
        <v>113</v>
      </c>
      <c r="B44" s="245">
        <v>7.8710097339335858E-3</v>
      </c>
      <c r="C44" s="159">
        <f t="shared" si="6"/>
        <v>11806.514600900378</v>
      </c>
      <c r="D44" s="160">
        <f t="shared" si="7"/>
        <v>12000</v>
      </c>
      <c r="E44" s="6"/>
      <c r="F44" s="6"/>
    </row>
    <row r="45" spans="1:6" ht="15.75" x14ac:dyDescent="0.25">
      <c r="A45" s="158" t="s">
        <v>114</v>
      </c>
      <c r="B45" s="245">
        <v>5.1851032848375103E-3</v>
      </c>
      <c r="C45" s="159">
        <f t="shared" si="6"/>
        <v>7777.6549272562652</v>
      </c>
      <c r="D45" s="160">
        <f t="shared" si="7"/>
        <v>8000</v>
      </c>
      <c r="E45" s="6"/>
      <c r="F45" s="6"/>
    </row>
    <row r="46" spans="1:6" ht="15.75" x14ac:dyDescent="0.25">
      <c r="A46" s="158" t="s">
        <v>115</v>
      </c>
      <c r="B46" s="245">
        <v>2.8621853577940311E-3</v>
      </c>
      <c r="C46" s="159">
        <f t="shared" si="6"/>
        <v>4293.2780366910465</v>
      </c>
      <c r="D46" s="160">
        <f t="shared" si="7"/>
        <v>4000</v>
      </c>
      <c r="E46" s="6"/>
      <c r="F46" s="6"/>
    </row>
    <row r="47" spans="1:6" ht="15.75" x14ac:dyDescent="0.25">
      <c r="A47" s="158"/>
      <c r="B47" s="88"/>
      <c r="C47" s="88"/>
      <c r="D47" s="161"/>
      <c r="E47" s="3"/>
      <c r="F47" s="3"/>
    </row>
    <row r="48" spans="1:6" ht="16.5" thickBot="1" x14ac:dyDescent="0.3">
      <c r="A48" s="162" t="s">
        <v>103</v>
      </c>
      <c r="B48" s="163">
        <f>SUM(B34:B46)</f>
        <v>1</v>
      </c>
      <c r="C48" s="164">
        <f>SUM(C34:C46)</f>
        <v>1499999.9999999998</v>
      </c>
      <c r="D48" s="165">
        <f>SUM(D34:D46)</f>
        <v>1473000</v>
      </c>
      <c r="E48" s="3"/>
      <c r="F48" s="6"/>
    </row>
    <row r="49" spans="1:2" x14ac:dyDescent="0.25">
      <c r="A49" s="9" t="s">
        <v>130</v>
      </c>
    </row>
    <row r="51" spans="1:2" x14ac:dyDescent="0.25">
      <c r="B51" s="10"/>
    </row>
  </sheetData>
  <mergeCells count="3">
    <mergeCell ref="A4:A6"/>
    <mergeCell ref="B4:B6"/>
    <mergeCell ref="C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V63"/>
  <sheetViews>
    <sheetView zoomScale="90" zoomScaleNormal="90" workbookViewId="0"/>
  </sheetViews>
  <sheetFormatPr defaultColWidth="8.85546875" defaultRowHeight="15.75" x14ac:dyDescent="0.25"/>
  <cols>
    <col min="1" max="1" width="8.85546875" style="19"/>
    <col min="2" max="2" width="55" style="19" customWidth="1"/>
    <col min="3" max="3" width="13.7109375" style="19" customWidth="1"/>
    <col min="4" max="4" width="9.140625" style="19" bestFit="1" customWidth="1"/>
    <col min="5" max="5" width="9.42578125" style="19" bestFit="1" customWidth="1"/>
    <col min="6" max="6" width="12.7109375" style="19" bestFit="1" customWidth="1"/>
    <col min="7" max="8" width="8.85546875" style="19"/>
    <col min="9" max="9" width="11" style="19" customWidth="1"/>
    <col min="10" max="10" width="11.28515625" style="19" bestFit="1" customWidth="1"/>
    <col min="11" max="11" width="12.42578125" style="19" bestFit="1" customWidth="1"/>
    <col min="12" max="12" width="8.85546875" style="19"/>
    <col min="13" max="13" width="12.42578125" style="19" bestFit="1" customWidth="1"/>
    <col min="14" max="14" width="10.42578125" style="19" bestFit="1" customWidth="1"/>
    <col min="15" max="16" width="15" style="19" bestFit="1" customWidth="1"/>
    <col min="17" max="17" width="12.7109375" style="19" bestFit="1" customWidth="1"/>
    <col min="18" max="18" width="14" style="19" bestFit="1" customWidth="1"/>
    <col min="19" max="16384" width="8.85546875" style="19"/>
  </cols>
  <sheetData>
    <row r="1" spans="2:19" ht="18.75" x14ac:dyDescent="0.3">
      <c r="B1" s="166" t="s">
        <v>96</v>
      </c>
    </row>
    <row r="2" spans="2:19" x14ac:dyDescent="0.25">
      <c r="B2" s="1" t="str">
        <f>'Table of Contents'!B2</f>
        <v>Approved 2018 RTF Work Plan (October 10, 2017)</v>
      </c>
    </row>
    <row r="3" spans="2:19" x14ac:dyDescent="0.25">
      <c r="O3"/>
      <c r="P3"/>
      <c r="Q3"/>
      <c r="R3"/>
      <c r="S3"/>
    </row>
    <row r="4" spans="2:19" x14ac:dyDescent="0.25">
      <c r="B4" s="136" t="s">
        <v>72</v>
      </c>
      <c r="C4" s="136" t="s">
        <v>55</v>
      </c>
      <c r="D4" s="136" t="s">
        <v>51</v>
      </c>
      <c r="E4" s="136" t="s">
        <v>52</v>
      </c>
      <c r="F4" s="136" t="s">
        <v>53</v>
      </c>
      <c r="G4" s="136" t="s">
        <v>54</v>
      </c>
      <c r="H4" s="137"/>
      <c r="I4" s="136" t="s">
        <v>20</v>
      </c>
      <c r="J4" s="136" t="s">
        <v>21</v>
      </c>
      <c r="K4" s="137"/>
      <c r="L4" s="136" t="s">
        <v>22</v>
      </c>
      <c r="M4" s="136" t="s">
        <v>23</v>
      </c>
      <c r="N4" s="136" t="s">
        <v>24</v>
      </c>
    </row>
    <row r="5" spans="2:19" x14ac:dyDescent="0.25">
      <c r="C5" s="46">
        <f>D5*12</f>
        <v>124800</v>
      </c>
      <c r="D5" s="46">
        <f>E5*(52/12)</f>
        <v>10400</v>
      </c>
      <c r="E5" s="46">
        <f>F5*5</f>
        <v>2400</v>
      </c>
      <c r="F5" s="46">
        <f>G5*8</f>
        <v>480</v>
      </c>
      <c r="G5" s="40">
        <v>60</v>
      </c>
      <c r="I5" s="46">
        <f>F5*52</f>
        <v>24960</v>
      </c>
      <c r="J5" s="46">
        <f>I5*2</f>
        <v>49920</v>
      </c>
      <c r="L5" s="46">
        <f>F5*12</f>
        <v>5760</v>
      </c>
      <c r="M5" s="46">
        <f>L5*2</f>
        <v>11520</v>
      </c>
      <c r="N5" s="46">
        <f>L5*3</f>
        <v>17280</v>
      </c>
    </row>
    <row r="6" spans="2:19" x14ac:dyDescent="0.25">
      <c r="C6" s="46">
        <f>D6*12</f>
        <v>166400</v>
      </c>
      <c r="D6" s="46">
        <f>E6*(52/12)</f>
        <v>13866.666666666666</v>
      </c>
      <c r="E6" s="46">
        <f>F6*5</f>
        <v>3200</v>
      </c>
      <c r="F6" s="46">
        <f>G6*8</f>
        <v>640</v>
      </c>
      <c r="G6" s="40">
        <v>80</v>
      </c>
      <c r="I6" s="46">
        <f t="shared" ref="I6:I10" si="0">F6*52</f>
        <v>33280</v>
      </c>
      <c r="J6" s="46">
        <f t="shared" ref="J6:J12" si="1">I6*2</f>
        <v>66560</v>
      </c>
      <c r="L6" s="46">
        <f t="shared" ref="L6:L12" si="2">F6*12</f>
        <v>7680</v>
      </c>
      <c r="M6" s="46">
        <f t="shared" ref="M6:M12" si="3">L6*2</f>
        <v>15360</v>
      </c>
      <c r="N6" s="46">
        <f t="shared" ref="N6:N12" si="4">L6*3</f>
        <v>23040</v>
      </c>
    </row>
    <row r="7" spans="2:19" x14ac:dyDescent="0.25">
      <c r="C7" s="46">
        <f t="shared" ref="C7:C10" si="5">D7*12</f>
        <v>208000</v>
      </c>
      <c r="D7" s="46">
        <f t="shared" ref="D7:D10" si="6">E7*(52/12)</f>
        <v>17333.333333333332</v>
      </c>
      <c r="E7" s="46">
        <f t="shared" ref="E7:E11" si="7">F7*5</f>
        <v>4000</v>
      </c>
      <c r="F7" s="46">
        <f t="shared" ref="F7:F11" si="8">G7*8</f>
        <v>800</v>
      </c>
      <c r="G7" s="40">
        <v>100</v>
      </c>
      <c r="I7" s="46">
        <f t="shared" si="0"/>
        <v>41600</v>
      </c>
      <c r="J7" s="46">
        <f t="shared" si="1"/>
        <v>83200</v>
      </c>
      <c r="L7" s="46">
        <f t="shared" si="2"/>
        <v>9600</v>
      </c>
      <c r="M7" s="46">
        <f t="shared" si="3"/>
        <v>19200</v>
      </c>
      <c r="N7" s="46">
        <f t="shared" si="4"/>
        <v>28800</v>
      </c>
    </row>
    <row r="8" spans="2:19" x14ac:dyDescent="0.25">
      <c r="B8" s="138"/>
      <c r="C8" s="46">
        <f t="shared" si="5"/>
        <v>249600</v>
      </c>
      <c r="D8" s="46">
        <f t="shared" si="6"/>
        <v>20800</v>
      </c>
      <c r="E8" s="46">
        <f t="shared" si="7"/>
        <v>4800</v>
      </c>
      <c r="F8" s="46">
        <f t="shared" si="8"/>
        <v>960</v>
      </c>
      <c r="G8" s="40">
        <v>120</v>
      </c>
      <c r="I8" s="46">
        <f t="shared" si="0"/>
        <v>49920</v>
      </c>
      <c r="J8" s="46">
        <f t="shared" si="1"/>
        <v>99840</v>
      </c>
      <c r="L8" s="46">
        <f t="shared" si="2"/>
        <v>11520</v>
      </c>
      <c r="M8" s="46">
        <f t="shared" si="3"/>
        <v>23040</v>
      </c>
      <c r="N8" s="46">
        <f t="shared" si="4"/>
        <v>34560</v>
      </c>
    </row>
    <row r="9" spans="2:19" x14ac:dyDescent="0.25">
      <c r="C9" s="46">
        <f t="shared" si="5"/>
        <v>312000</v>
      </c>
      <c r="D9" s="46">
        <f t="shared" si="6"/>
        <v>26000</v>
      </c>
      <c r="E9" s="46">
        <f t="shared" si="7"/>
        <v>6000</v>
      </c>
      <c r="F9" s="46">
        <f t="shared" si="8"/>
        <v>1200</v>
      </c>
      <c r="G9" s="40">
        <v>150</v>
      </c>
      <c r="I9" s="46">
        <f t="shared" si="0"/>
        <v>62400</v>
      </c>
      <c r="J9" s="46">
        <f t="shared" si="1"/>
        <v>124800</v>
      </c>
      <c r="L9" s="46">
        <f t="shared" si="2"/>
        <v>14400</v>
      </c>
      <c r="M9" s="46">
        <f t="shared" si="3"/>
        <v>28800</v>
      </c>
      <c r="N9" s="46">
        <f t="shared" si="4"/>
        <v>43200</v>
      </c>
    </row>
    <row r="10" spans="2:19" x14ac:dyDescent="0.25">
      <c r="C10" s="46">
        <f t="shared" si="5"/>
        <v>416000</v>
      </c>
      <c r="D10" s="46">
        <f t="shared" si="6"/>
        <v>34666.666666666664</v>
      </c>
      <c r="E10" s="46">
        <f t="shared" si="7"/>
        <v>8000</v>
      </c>
      <c r="F10" s="46">
        <f t="shared" si="8"/>
        <v>1600</v>
      </c>
      <c r="G10" s="40">
        <v>200</v>
      </c>
      <c r="I10" s="46">
        <f t="shared" si="0"/>
        <v>83200</v>
      </c>
      <c r="J10" s="46">
        <f t="shared" si="1"/>
        <v>166400</v>
      </c>
      <c r="L10" s="46">
        <f t="shared" si="2"/>
        <v>19200</v>
      </c>
      <c r="M10" s="46">
        <f t="shared" si="3"/>
        <v>38400</v>
      </c>
      <c r="N10" s="46">
        <f t="shared" si="4"/>
        <v>57600</v>
      </c>
    </row>
    <row r="11" spans="2:19" x14ac:dyDescent="0.25">
      <c r="C11" s="46">
        <f>D11*12</f>
        <v>519999.99999999994</v>
      </c>
      <c r="D11" s="46">
        <f>E11*(52/12)</f>
        <v>43333.333333333328</v>
      </c>
      <c r="E11" s="46">
        <f t="shared" si="7"/>
        <v>10000</v>
      </c>
      <c r="F11" s="46">
        <f t="shared" si="8"/>
        <v>2000</v>
      </c>
      <c r="G11" s="40">
        <v>250</v>
      </c>
      <c r="I11" s="46">
        <f>F11*52</f>
        <v>104000</v>
      </c>
      <c r="J11" s="46">
        <f t="shared" si="1"/>
        <v>208000</v>
      </c>
      <c r="L11" s="46">
        <f t="shared" si="2"/>
        <v>24000</v>
      </c>
      <c r="M11" s="46">
        <f t="shared" si="3"/>
        <v>48000</v>
      </c>
      <c r="N11" s="46">
        <f t="shared" si="4"/>
        <v>72000</v>
      </c>
    </row>
    <row r="12" spans="2:19" x14ac:dyDescent="0.25">
      <c r="B12" s="259" t="s">
        <v>212</v>
      </c>
      <c r="C12" s="46">
        <f>D12*12</f>
        <v>264160</v>
      </c>
      <c r="D12" s="46">
        <f>E12*(52/12)</f>
        <v>22013.333333333332</v>
      </c>
      <c r="E12" s="46">
        <f t="shared" ref="E12" si="9">F12*5</f>
        <v>5080</v>
      </c>
      <c r="F12" s="46">
        <f t="shared" ref="F12" si="10">G12*8</f>
        <v>1016</v>
      </c>
      <c r="G12" s="40">
        <v>127</v>
      </c>
      <c r="I12" s="46">
        <f>F12*52</f>
        <v>52832</v>
      </c>
      <c r="J12" s="46">
        <f t="shared" si="1"/>
        <v>105664</v>
      </c>
      <c r="L12" s="46">
        <f t="shared" si="2"/>
        <v>12192</v>
      </c>
      <c r="M12" s="46">
        <f t="shared" si="3"/>
        <v>24384</v>
      </c>
      <c r="N12" s="46">
        <f t="shared" si="4"/>
        <v>36576</v>
      </c>
    </row>
    <row r="14" spans="2:19" x14ac:dyDescent="0.25">
      <c r="B14" s="136" t="s">
        <v>71</v>
      </c>
      <c r="C14" s="136" t="s">
        <v>56</v>
      </c>
      <c r="D14" s="136" t="s">
        <v>57</v>
      </c>
      <c r="E14" s="136" t="s">
        <v>58</v>
      </c>
      <c r="F14" s="136" t="s">
        <v>59</v>
      </c>
      <c r="G14" s="136"/>
      <c r="H14" s="136" t="s">
        <v>60</v>
      </c>
      <c r="I14" s="136" t="s">
        <v>61</v>
      </c>
      <c r="J14" s="136" t="s">
        <v>62</v>
      </c>
      <c r="K14" s="136"/>
      <c r="L14" s="136"/>
      <c r="M14" s="136"/>
      <c r="N14" s="137"/>
    </row>
    <row r="15" spans="2:19" x14ac:dyDescent="0.25">
      <c r="C15" s="40">
        <v>100</v>
      </c>
      <c r="D15" s="46">
        <f>$C15*8</f>
        <v>800</v>
      </c>
      <c r="E15" s="46">
        <f>$C15*16</f>
        <v>1600</v>
      </c>
      <c r="F15" s="46">
        <f>$C15*24</f>
        <v>2400</v>
      </c>
      <c r="H15" s="46">
        <f>$C15*40</f>
        <v>4000</v>
      </c>
      <c r="I15" s="46">
        <f>$C15*80</f>
        <v>8000</v>
      </c>
      <c r="J15" s="46">
        <f>$C15*120</f>
        <v>12000</v>
      </c>
      <c r="L15" s="46"/>
    </row>
    <row r="16" spans="2:19" x14ac:dyDescent="0.25">
      <c r="C16" s="40">
        <v>120</v>
      </c>
      <c r="D16" s="46">
        <f t="shared" ref="D16:D18" si="11">$C16*8</f>
        <v>960</v>
      </c>
      <c r="E16" s="46">
        <f t="shared" ref="E16:E18" si="12">$C16*16</f>
        <v>1920</v>
      </c>
      <c r="F16" s="46">
        <f t="shared" ref="F16:F18" si="13">$C16*24</f>
        <v>2880</v>
      </c>
      <c r="H16" s="46">
        <f t="shared" ref="H16:H18" si="14">$C16*40</f>
        <v>4800</v>
      </c>
      <c r="I16" s="46">
        <f t="shared" ref="I16:I18" si="15">$C16*80</f>
        <v>9600</v>
      </c>
      <c r="J16" s="46">
        <f t="shared" ref="J16:J18" si="16">$C16*120</f>
        <v>14400</v>
      </c>
    </row>
    <row r="17" spans="2:22" x14ac:dyDescent="0.25">
      <c r="C17" s="40">
        <v>150</v>
      </c>
      <c r="D17" s="46">
        <f t="shared" si="11"/>
        <v>1200</v>
      </c>
      <c r="E17" s="46">
        <f t="shared" si="12"/>
        <v>2400</v>
      </c>
      <c r="F17" s="46">
        <f t="shared" si="13"/>
        <v>3600</v>
      </c>
      <c r="H17" s="46">
        <f t="shared" si="14"/>
        <v>6000</v>
      </c>
      <c r="I17" s="46">
        <f t="shared" si="15"/>
        <v>12000</v>
      </c>
      <c r="J17" s="46">
        <f t="shared" si="16"/>
        <v>18000</v>
      </c>
    </row>
    <row r="18" spans="2:22" x14ac:dyDescent="0.25">
      <c r="C18" s="40">
        <v>200</v>
      </c>
      <c r="D18" s="46">
        <f t="shared" si="11"/>
        <v>1600</v>
      </c>
      <c r="E18" s="46">
        <f t="shared" si="12"/>
        <v>3200</v>
      </c>
      <c r="F18" s="46">
        <f t="shared" si="13"/>
        <v>4800</v>
      </c>
      <c r="H18" s="46">
        <f t="shared" si="14"/>
        <v>8000</v>
      </c>
      <c r="I18" s="46">
        <f t="shared" si="15"/>
        <v>16000</v>
      </c>
      <c r="J18" s="46">
        <f t="shared" si="16"/>
        <v>24000</v>
      </c>
    </row>
    <row r="21" spans="2:22" ht="47.25" x14ac:dyDescent="0.25">
      <c r="B21" s="136" t="s">
        <v>75</v>
      </c>
      <c r="C21" s="139" t="s">
        <v>76</v>
      </c>
      <c r="D21" s="140" t="s">
        <v>77</v>
      </c>
      <c r="E21" s="140" t="s">
        <v>78</v>
      </c>
      <c r="F21" s="140" t="s">
        <v>79</v>
      </c>
      <c r="G21" s="141" t="s">
        <v>80</v>
      </c>
      <c r="H21" s="137"/>
      <c r="I21" s="137"/>
      <c r="J21" s="137"/>
      <c r="K21" s="137"/>
      <c r="L21" s="137"/>
      <c r="M21" s="137"/>
      <c r="Q21" s="280"/>
    </row>
    <row r="22" spans="2:22" x14ac:dyDescent="0.25">
      <c r="C22" s="142">
        <v>1</v>
      </c>
      <c r="D22" s="88">
        <f>F22*52</f>
        <v>2080</v>
      </c>
      <c r="E22" s="143">
        <f>D22/12</f>
        <v>173.33333333333334</v>
      </c>
      <c r="F22" s="88">
        <f>40</f>
        <v>40</v>
      </c>
      <c r="G22" s="144">
        <f>E22/8</f>
        <v>21.666666666666668</v>
      </c>
    </row>
    <row r="23" spans="2:22" x14ac:dyDescent="0.25">
      <c r="C23" s="142">
        <v>0.75</v>
      </c>
      <c r="D23" s="88">
        <f t="shared" ref="D23:D31" si="17">F23*52</f>
        <v>1560</v>
      </c>
      <c r="E23" s="143">
        <f t="shared" ref="E23:E31" si="18">D23/12</f>
        <v>130</v>
      </c>
      <c r="F23" s="88">
        <f>C23*$F$22</f>
        <v>30</v>
      </c>
      <c r="G23" s="144">
        <f t="shared" ref="G23:G31" si="19">E23/8</f>
        <v>16.25</v>
      </c>
      <c r="R23" s="335"/>
    </row>
    <row r="24" spans="2:22" x14ac:dyDescent="0.25">
      <c r="C24" s="142">
        <v>0.5</v>
      </c>
      <c r="D24" s="88">
        <f t="shared" si="17"/>
        <v>1040</v>
      </c>
      <c r="E24" s="143">
        <f t="shared" si="18"/>
        <v>86.666666666666671</v>
      </c>
      <c r="F24" s="88">
        <f t="shared" ref="F24:F31" si="20">C24*$F$22</f>
        <v>20</v>
      </c>
      <c r="G24" s="144">
        <f t="shared" si="19"/>
        <v>10.833333333333334</v>
      </c>
      <c r="I24"/>
      <c r="J24"/>
      <c r="K24"/>
      <c r="L24"/>
      <c r="M24"/>
      <c r="N24"/>
      <c r="O24"/>
      <c r="P24"/>
    </row>
    <row r="25" spans="2:22" x14ac:dyDescent="0.25">
      <c r="C25" s="142">
        <v>0.35</v>
      </c>
      <c r="D25" s="88">
        <f t="shared" si="17"/>
        <v>728</v>
      </c>
      <c r="E25" s="143">
        <f t="shared" si="18"/>
        <v>60.666666666666664</v>
      </c>
      <c r="F25" s="88">
        <f t="shared" si="20"/>
        <v>14</v>
      </c>
      <c r="G25" s="144">
        <f t="shared" si="19"/>
        <v>7.583333333333333</v>
      </c>
      <c r="I25"/>
      <c r="J25"/>
      <c r="K25" s="339"/>
      <c r="L25" s="340"/>
      <c r="M25" s="340"/>
      <c r="N25" s="340"/>
      <c r="O25" s="340"/>
      <c r="P25" s="340"/>
      <c r="Q25" s="341"/>
      <c r="R25" s="341"/>
      <c r="S25" s="341"/>
      <c r="T25" s="194"/>
      <c r="U25" s="194"/>
      <c r="V25" s="194"/>
    </row>
    <row r="26" spans="2:22" x14ac:dyDescent="0.25">
      <c r="C26" s="142">
        <v>0.2</v>
      </c>
      <c r="D26" s="88">
        <f t="shared" si="17"/>
        <v>416</v>
      </c>
      <c r="E26" s="143">
        <f t="shared" si="18"/>
        <v>34.666666666666664</v>
      </c>
      <c r="F26" s="88">
        <f t="shared" si="20"/>
        <v>8</v>
      </c>
      <c r="G26" s="144">
        <f t="shared" si="19"/>
        <v>4.333333333333333</v>
      </c>
      <c r="I26"/>
      <c r="J26"/>
      <c r="K26" s="340"/>
      <c r="L26" s="362"/>
      <c r="M26" s="363"/>
      <c r="N26" s="363"/>
      <c r="O26" s="364"/>
      <c r="P26" s="363"/>
      <c r="Q26" s="362"/>
      <c r="R26" s="362"/>
      <c r="S26" s="341"/>
      <c r="T26" s="194"/>
      <c r="U26" s="194"/>
      <c r="V26" s="194"/>
    </row>
    <row r="27" spans="2:22" x14ac:dyDescent="0.25">
      <c r="C27" s="142">
        <v>0.15</v>
      </c>
      <c r="D27" s="88">
        <f t="shared" si="17"/>
        <v>312</v>
      </c>
      <c r="E27" s="143">
        <f t="shared" si="18"/>
        <v>26</v>
      </c>
      <c r="F27" s="88">
        <f t="shared" si="20"/>
        <v>6</v>
      </c>
      <c r="G27" s="144">
        <f t="shared" si="19"/>
        <v>3.25</v>
      </c>
      <c r="I27"/>
      <c r="J27" s="314"/>
      <c r="K27" s="341"/>
      <c r="L27" s="363"/>
      <c r="M27" s="365"/>
      <c r="N27" s="363"/>
      <c r="O27" s="366"/>
      <c r="P27" s="363"/>
      <c r="Q27" s="367"/>
      <c r="R27" s="362"/>
      <c r="S27" s="341"/>
      <c r="T27" s="194"/>
      <c r="U27" s="194"/>
      <c r="V27" s="194"/>
    </row>
    <row r="28" spans="2:22" x14ac:dyDescent="0.25">
      <c r="C28" s="142">
        <v>0.1</v>
      </c>
      <c r="D28" s="88">
        <f t="shared" si="17"/>
        <v>208</v>
      </c>
      <c r="E28" s="143">
        <f t="shared" si="18"/>
        <v>17.333333333333332</v>
      </c>
      <c r="F28" s="88">
        <f t="shared" si="20"/>
        <v>4</v>
      </c>
      <c r="G28" s="144">
        <f t="shared" si="19"/>
        <v>2.1666666666666665</v>
      </c>
      <c r="I28"/>
      <c r="J28"/>
      <c r="K28" s="341"/>
      <c r="L28" s="365"/>
      <c r="M28" s="365" t="s">
        <v>285</v>
      </c>
      <c r="N28" s="363">
        <v>1700</v>
      </c>
      <c r="O28" s="366">
        <v>117</v>
      </c>
      <c r="P28" s="366">
        <f>N28*O28</f>
        <v>198900</v>
      </c>
      <c r="Q28" s="368"/>
      <c r="R28" s="368"/>
      <c r="S28" s="341"/>
      <c r="T28" s="194"/>
      <c r="U28" s="194"/>
      <c r="V28" s="194"/>
    </row>
    <row r="29" spans="2:22" x14ac:dyDescent="0.25">
      <c r="C29" s="142">
        <v>0.05</v>
      </c>
      <c r="D29" s="88">
        <f t="shared" si="17"/>
        <v>104</v>
      </c>
      <c r="E29" s="143">
        <f t="shared" si="18"/>
        <v>8.6666666666666661</v>
      </c>
      <c r="F29" s="88">
        <f t="shared" si="20"/>
        <v>2</v>
      </c>
      <c r="G29" s="145">
        <f t="shared" si="19"/>
        <v>1.0833333333333333</v>
      </c>
      <c r="I29"/>
      <c r="J29"/>
      <c r="K29" s="341"/>
      <c r="L29" s="365"/>
      <c r="M29" s="365" t="s">
        <v>286</v>
      </c>
      <c r="N29" s="363">
        <v>1800</v>
      </c>
      <c r="O29" s="366">
        <v>137</v>
      </c>
      <c r="P29" s="366">
        <f t="shared" ref="P29:P33" si="21">N29*O29</f>
        <v>246600</v>
      </c>
      <c r="Q29" s="362"/>
      <c r="R29" s="362"/>
      <c r="S29" s="341"/>
      <c r="T29" s="194"/>
      <c r="U29" s="194"/>
      <c r="V29" s="194"/>
    </row>
    <row r="30" spans="2:22" x14ac:dyDescent="0.25">
      <c r="C30" s="142">
        <v>0.02</v>
      </c>
      <c r="D30" s="143">
        <f t="shared" si="17"/>
        <v>41.6</v>
      </c>
      <c r="E30" s="143">
        <f t="shared" si="18"/>
        <v>3.4666666666666668</v>
      </c>
      <c r="F30" s="88">
        <f t="shared" si="20"/>
        <v>0.8</v>
      </c>
      <c r="G30" s="145">
        <f t="shared" si="19"/>
        <v>0.43333333333333335</v>
      </c>
      <c r="I30"/>
      <c r="J30"/>
      <c r="K30" s="341"/>
      <c r="L30" s="365"/>
      <c r="M30" s="365" t="s">
        <v>287</v>
      </c>
      <c r="N30" s="363">
        <v>1200</v>
      </c>
      <c r="O30" s="366">
        <v>165</v>
      </c>
      <c r="P30" s="366">
        <f t="shared" si="21"/>
        <v>198000</v>
      </c>
      <c r="Q30" s="362"/>
      <c r="R30" s="362"/>
      <c r="S30" s="341"/>
      <c r="T30" s="194"/>
      <c r="U30" s="194"/>
      <c r="V30" s="194"/>
    </row>
    <row r="31" spans="2:22" x14ac:dyDescent="0.25">
      <c r="C31" s="146">
        <v>0.01</v>
      </c>
      <c r="D31" s="147">
        <f t="shared" si="17"/>
        <v>20.8</v>
      </c>
      <c r="E31" s="147">
        <f t="shared" si="18"/>
        <v>1.7333333333333334</v>
      </c>
      <c r="F31" s="148">
        <f t="shared" si="20"/>
        <v>0.4</v>
      </c>
      <c r="G31" s="149">
        <f t="shared" si="19"/>
        <v>0.21666666666666667</v>
      </c>
      <c r="I31"/>
      <c r="J31"/>
      <c r="K31" s="342"/>
      <c r="L31" s="365"/>
      <c r="M31" s="365" t="s">
        <v>288</v>
      </c>
      <c r="N31" s="363">
        <v>1400</v>
      </c>
      <c r="O31" s="366">
        <v>120</v>
      </c>
      <c r="P31" s="366">
        <f t="shared" si="21"/>
        <v>168000</v>
      </c>
      <c r="Q31" s="362"/>
      <c r="R31" s="368"/>
      <c r="S31" s="341"/>
      <c r="T31" s="194"/>
      <c r="U31" s="194"/>
      <c r="V31" s="194"/>
    </row>
    <row r="32" spans="2:22" x14ac:dyDescent="0.25">
      <c r="I32"/>
      <c r="J32"/>
      <c r="K32" s="342"/>
      <c r="L32" s="365"/>
      <c r="M32" s="365" t="s">
        <v>289</v>
      </c>
      <c r="N32" s="363">
        <v>1600</v>
      </c>
      <c r="O32" s="366">
        <v>115</v>
      </c>
      <c r="P32" s="366">
        <f t="shared" si="21"/>
        <v>184000</v>
      </c>
      <c r="Q32" s="362"/>
      <c r="R32" s="368"/>
      <c r="S32" s="341"/>
      <c r="T32" s="194"/>
      <c r="U32" s="194"/>
      <c r="V32" s="194"/>
    </row>
    <row r="33" spans="3:22" x14ac:dyDescent="0.25">
      <c r="C33" s="461" t="s">
        <v>81</v>
      </c>
      <c r="D33" s="462"/>
      <c r="E33" s="463"/>
      <c r="F33" s="150" t="s">
        <v>82</v>
      </c>
      <c r="I33"/>
      <c r="J33"/>
      <c r="K33" s="345"/>
      <c r="L33" s="365"/>
      <c r="M33" s="365" t="s">
        <v>290</v>
      </c>
      <c r="N33" s="363">
        <v>1600</v>
      </c>
      <c r="O33" s="366">
        <v>130</v>
      </c>
      <c r="P33" s="366">
        <f t="shared" si="21"/>
        <v>208000</v>
      </c>
      <c r="Q33" s="362"/>
      <c r="R33" s="368"/>
      <c r="S33" s="341"/>
      <c r="T33" s="194"/>
      <c r="U33" s="194"/>
      <c r="V33" s="194"/>
    </row>
    <row r="34" spans="3:22" x14ac:dyDescent="0.25">
      <c r="C34" s="151" t="s">
        <v>83</v>
      </c>
      <c r="D34" s="151" t="s">
        <v>85</v>
      </c>
      <c r="E34" s="151" t="s">
        <v>84</v>
      </c>
      <c r="F34" s="151" t="s">
        <v>86</v>
      </c>
      <c r="I34"/>
      <c r="J34"/>
      <c r="K34" s="340"/>
      <c r="L34" s="369"/>
      <c r="M34" s="369" t="s">
        <v>103</v>
      </c>
      <c r="N34" s="370"/>
      <c r="O34" s="371"/>
      <c r="P34" s="372">
        <f>SUM(P28:P33)</f>
        <v>1203500</v>
      </c>
      <c r="Q34" s="362"/>
      <c r="R34" s="362"/>
      <c r="S34" s="341"/>
      <c r="T34" s="194"/>
      <c r="U34" s="194"/>
      <c r="V34" s="194"/>
    </row>
    <row r="35" spans="3:22" x14ac:dyDescent="0.25">
      <c r="C35" s="152">
        <v>8</v>
      </c>
      <c r="D35" s="153"/>
      <c r="E35" s="153"/>
      <c r="F35" s="154">
        <f>C35/D22</f>
        <v>3.8461538461538464E-3</v>
      </c>
      <c r="K35" s="341"/>
      <c r="L35" s="365"/>
      <c r="M35" s="369" t="s">
        <v>321</v>
      </c>
      <c r="N35" s="363"/>
      <c r="O35" s="366">
        <f>AVERAGE(O28:O33)</f>
        <v>130.66666666666666</v>
      </c>
      <c r="P35" s="373"/>
      <c r="Q35" s="362"/>
      <c r="R35" s="362"/>
      <c r="S35" s="341"/>
      <c r="T35" s="194"/>
      <c r="U35" s="194"/>
      <c r="V35" s="194"/>
    </row>
    <row r="36" spans="3:22" x14ac:dyDescent="0.25">
      <c r="C36" s="153"/>
      <c r="D36" s="152">
        <v>16</v>
      </c>
      <c r="E36" s="153"/>
      <c r="F36" s="154">
        <f>D36/E22</f>
        <v>9.2307692307692299E-2</v>
      </c>
      <c r="K36" s="341"/>
      <c r="L36" s="363"/>
      <c r="M36" s="374"/>
      <c r="N36" s="363"/>
      <c r="O36" s="363"/>
      <c r="P36" s="373"/>
      <c r="Q36" s="362"/>
      <c r="R36" s="362"/>
      <c r="S36" s="341"/>
      <c r="T36" s="194"/>
      <c r="U36" s="194"/>
      <c r="V36" s="194"/>
    </row>
    <row r="37" spans="3:22" x14ac:dyDescent="0.25">
      <c r="C37" s="153"/>
      <c r="D37" s="153"/>
      <c r="E37" s="152">
        <v>8</v>
      </c>
      <c r="F37" s="154">
        <f>E37/F22</f>
        <v>0.2</v>
      </c>
      <c r="J37" s="304"/>
      <c r="K37" s="341"/>
      <c r="L37" s="341"/>
      <c r="M37" s="341"/>
      <c r="N37" s="341"/>
      <c r="O37" s="346"/>
      <c r="P37" s="341"/>
      <c r="Q37" s="341"/>
      <c r="R37" s="341"/>
      <c r="S37" s="341"/>
      <c r="T37" s="194"/>
      <c r="U37" s="194"/>
      <c r="V37" s="194"/>
    </row>
    <row r="38" spans="3:22" x14ac:dyDescent="0.25">
      <c r="J38" s="315"/>
      <c r="K38" s="341"/>
      <c r="L38" s="341"/>
      <c r="M38" s="347"/>
      <c r="N38" s="341"/>
      <c r="O38" s="344"/>
      <c r="P38" s="341"/>
      <c r="Q38" s="341"/>
      <c r="R38" s="341"/>
      <c r="S38" s="341"/>
      <c r="T38" s="194"/>
      <c r="U38" s="194"/>
      <c r="V38" s="194"/>
    </row>
    <row r="39" spans="3:22" x14ac:dyDescent="0.25">
      <c r="C39" s="280"/>
      <c r="J39" s="316"/>
      <c r="K39" s="348"/>
      <c r="L39" s="341"/>
      <c r="M39" s="341"/>
      <c r="N39" s="341"/>
      <c r="O39" s="341"/>
      <c r="P39" s="341"/>
      <c r="Q39" s="341"/>
      <c r="R39" s="341"/>
      <c r="S39" s="341"/>
      <c r="T39" s="194"/>
      <c r="U39" s="194"/>
      <c r="V39" s="194"/>
    </row>
    <row r="40" spans="3:22" x14ac:dyDescent="0.25">
      <c r="H40" s="58"/>
      <c r="J40" s="280"/>
      <c r="K40" s="348"/>
      <c r="L40" s="341"/>
      <c r="M40" s="341"/>
      <c r="N40" s="341"/>
      <c r="O40" s="341"/>
      <c r="P40" s="344"/>
      <c r="Q40" s="341"/>
      <c r="R40" s="341"/>
      <c r="S40" s="341"/>
      <c r="T40" s="194"/>
      <c r="U40" s="194"/>
      <c r="V40" s="194"/>
    </row>
    <row r="41" spans="3:22" x14ac:dyDescent="0.25">
      <c r="C41" s="280"/>
      <c r="F41" s="252"/>
      <c r="J41" s="280"/>
      <c r="K41" s="348"/>
      <c r="L41" s="341"/>
      <c r="M41" s="348"/>
      <c r="N41" s="341"/>
      <c r="O41" s="349"/>
      <c r="P41" s="341"/>
      <c r="Q41" s="341"/>
      <c r="R41" s="341"/>
      <c r="S41" s="341"/>
      <c r="T41" s="194"/>
      <c r="U41" s="194"/>
      <c r="V41" s="194"/>
    </row>
    <row r="42" spans="3:22" x14ac:dyDescent="0.25">
      <c r="C42" s="280"/>
      <c r="F42" s="252"/>
      <c r="J42" s="280"/>
      <c r="K42" s="348"/>
      <c r="L42" s="341"/>
      <c r="M42" s="348"/>
      <c r="N42" s="341"/>
      <c r="O42" s="341"/>
      <c r="P42" s="344"/>
      <c r="Q42" s="341"/>
      <c r="R42" s="341"/>
      <c r="S42" s="341"/>
      <c r="T42" s="194"/>
      <c r="U42" s="194"/>
      <c r="V42" s="194"/>
    </row>
    <row r="43" spans="3:22" x14ac:dyDescent="0.25">
      <c r="C43" s="281"/>
      <c r="D43" s="32"/>
      <c r="E43" s="32"/>
      <c r="F43" s="252"/>
      <c r="G43" s="32"/>
      <c r="J43" s="280"/>
      <c r="K43" s="348"/>
      <c r="L43" s="341"/>
      <c r="M43" s="348"/>
      <c r="N43" s="341"/>
      <c r="O43" s="343"/>
      <c r="P43" s="341"/>
      <c r="Q43" s="350"/>
      <c r="R43" s="341"/>
      <c r="S43" s="341"/>
      <c r="T43" s="194"/>
      <c r="U43" s="194"/>
      <c r="V43" s="194"/>
    </row>
    <row r="44" spans="3:22" x14ac:dyDescent="0.25">
      <c r="C44" s="281"/>
      <c r="D44" s="32"/>
      <c r="E44" s="32"/>
      <c r="F44" s="252"/>
      <c r="G44" s="32"/>
      <c r="J44" s="280"/>
      <c r="K44" s="348"/>
      <c r="L44" s="341"/>
      <c r="M44" s="348"/>
      <c r="N44" s="341"/>
      <c r="O44" s="341"/>
      <c r="P44" s="344"/>
      <c r="Q44" s="341"/>
      <c r="R44" s="341"/>
      <c r="S44" s="341"/>
      <c r="T44" s="194"/>
      <c r="U44" s="194"/>
      <c r="V44" s="194"/>
    </row>
    <row r="45" spans="3:22" x14ac:dyDescent="0.25">
      <c r="C45" s="281"/>
      <c r="D45" s="32"/>
      <c r="E45" s="32"/>
      <c r="F45" s="252"/>
      <c r="G45" s="32"/>
      <c r="J45" s="31"/>
      <c r="K45" s="351"/>
      <c r="L45" s="341"/>
      <c r="M45" s="348"/>
      <c r="N45" s="341"/>
      <c r="O45" s="348"/>
      <c r="P45" s="341"/>
      <c r="Q45" s="350"/>
      <c r="R45" s="341"/>
      <c r="S45" s="341"/>
      <c r="T45" s="194"/>
      <c r="U45" s="194"/>
      <c r="V45" s="194"/>
    </row>
    <row r="46" spans="3:22" x14ac:dyDescent="0.25">
      <c r="C46" s="281"/>
      <c r="D46" s="32"/>
      <c r="E46" s="32"/>
      <c r="F46" s="308"/>
      <c r="G46" s="32"/>
      <c r="K46" s="341"/>
      <c r="L46" s="341"/>
      <c r="M46" s="352"/>
      <c r="N46" s="341"/>
      <c r="O46" s="343"/>
      <c r="P46" s="341"/>
      <c r="Q46" s="341"/>
      <c r="R46" s="341"/>
      <c r="S46" s="341"/>
      <c r="T46" s="194"/>
      <c r="U46" s="194"/>
      <c r="V46" s="194"/>
    </row>
    <row r="47" spans="3:22" x14ac:dyDescent="0.25">
      <c r="C47" s="281"/>
      <c r="D47" s="32"/>
      <c r="E47" s="32"/>
      <c r="F47" s="308"/>
      <c r="G47" s="32"/>
      <c r="K47" s="341"/>
      <c r="L47" s="353"/>
      <c r="M47" s="351"/>
      <c r="N47" s="341"/>
      <c r="O47" s="341"/>
      <c r="P47" s="341"/>
      <c r="Q47" s="341"/>
      <c r="R47" s="341"/>
      <c r="S47" s="341"/>
      <c r="T47" s="194"/>
      <c r="U47" s="354"/>
      <c r="V47" s="194"/>
    </row>
    <row r="48" spans="3:22" x14ac:dyDescent="0.25">
      <c r="C48" s="281"/>
      <c r="D48" s="32"/>
      <c r="E48" s="281"/>
      <c r="F48" s="308"/>
      <c r="G48" s="32"/>
      <c r="K48" s="194"/>
      <c r="L48" s="194"/>
      <c r="M48" s="194"/>
      <c r="N48" s="194"/>
      <c r="O48" s="194"/>
      <c r="P48" s="194"/>
      <c r="Q48" s="193"/>
      <c r="R48" s="194"/>
      <c r="S48" s="194"/>
      <c r="T48" s="194"/>
      <c r="U48" s="194"/>
      <c r="V48" s="194"/>
    </row>
    <row r="49" spans="3:22" x14ac:dyDescent="0.25">
      <c r="C49" s="281"/>
      <c r="D49" s="32"/>
      <c r="E49" s="281"/>
      <c r="F49" s="308"/>
      <c r="G49" s="32"/>
      <c r="K49" s="355"/>
      <c r="L49" s="194"/>
      <c r="M49" s="194"/>
      <c r="N49" s="194"/>
      <c r="O49" s="193"/>
      <c r="P49" s="194"/>
      <c r="Q49" s="194"/>
      <c r="R49" s="194"/>
      <c r="S49" s="194"/>
      <c r="T49" s="194"/>
      <c r="U49" s="194"/>
      <c r="V49" s="194"/>
    </row>
    <row r="50" spans="3:22" x14ac:dyDescent="0.25">
      <c r="C50" s="281"/>
      <c r="D50" s="32"/>
      <c r="E50" s="32"/>
      <c r="F50" s="308"/>
      <c r="G50" s="32"/>
      <c r="J50" s="304"/>
      <c r="K50" s="194"/>
      <c r="L50" s="194"/>
      <c r="M50" s="194"/>
      <c r="N50" s="194"/>
      <c r="O50" s="194"/>
      <c r="P50" s="194"/>
      <c r="Q50" s="194"/>
      <c r="R50" s="194"/>
      <c r="S50" s="194"/>
      <c r="T50" s="194"/>
      <c r="U50" s="194"/>
      <c r="V50" s="194"/>
    </row>
    <row r="51" spans="3:22" x14ac:dyDescent="0.25">
      <c r="C51" s="32"/>
      <c r="D51" s="32"/>
      <c r="E51" s="32"/>
      <c r="F51" s="32"/>
      <c r="G51" s="32"/>
      <c r="K51" s="194"/>
      <c r="L51" s="194"/>
      <c r="M51" s="194"/>
      <c r="N51" s="194"/>
      <c r="O51" s="194"/>
      <c r="P51" s="194"/>
      <c r="Q51" s="194"/>
      <c r="R51" s="194"/>
      <c r="S51" s="194"/>
      <c r="T51" s="194"/>
      <c r="U51" s="194"/>
      <c r="V51" s="194"/>
    </row>
    <row r="52" spans="3:22" x14ac:dyDescent="0.25">
      <c r="C52" s="32"/>
      <c r="D52" s="32"/>
      <c r="E52" s="32"/>
      <c r="F52" s="32"/>
      <c r="G52" s="32"/>
      <c r="K52" s="194"/>
      <c r="L52" s="194"/>
      <c r="M52" s="194"/>
      <c r="N52" s="194"/>
      <c r="O52" s="194"/>
      <c r="P52" s="194"/>
      <c r="Q52" s="194"/>
      <c r="R52" s="194"/>
      <c r="S52" s="194"/>
      <c r="T52" s="194"/>
      <c r="U52" s="194"/>
      <c r="V52" s="194"/>
    </row>
    <row r="53" spans="3:22" x14ac:dyDescent="0.25">
      <c r="C53" s="281"/>
      <c r="D53" s="309"/>
      <c r="E53" s="32"/>
      <c r="F53" s="308"/>
      <c r="G53" s="32"/>
      <c r="K53" s="194"/>
      <c r="L53" s="194"/>
      <c r="M53" s="194"/>
      <c r="N53" s="194"/>
      <c r="O53" s="355"/>
      <c r="P53" s="194"/>
      <c r="Q53" s="194"/>
      <c r="R53" s="194"/>
      <c r="S53" s="194"/>
      <c r="T53" s="194"/>
      <c r="U53" s="194"/>
      <c r="V53" s="194"/>
    </row>
    <row r="54" spans="3:22" x14ac:dyDescent="0.25">
      <c r="C54" s="32"/>
      <c r="D54" s="32"/>
      <c r="E54" s="32"/>
      <c r="F54" s="32"/>
      <c r="G54" s="32"/>
      <c r="K54" s="356"/>
      <c r="L54" s="354"/>
      <c r="M54" s="194"/>
      <c r="N54" s="194"/>
      <c r="O54" s="356"/>
      <c r="P54" s="194"/>
      <c r="Q54" s="194"/>
      <c r="R54" s="194"/>
      <c r="S54" s="194"/>
      <c r="T54" s="194"/>
      <c r="U54" s="194"/>
      <c r="V54" s="194"/>
    </row>
    <row r="55" spans="3:22" x14ac:dyDescent="0.25">
      <c r="C55" s="32"/>
      <c r="D55" s="32"/>
      <c r="E55" s="32"/>
      <c r="F55" s="32"/>
      <c r="G55" s="32"/>
      <c r="I55" s="304"/>
      <c r="K55" s="194"/>
      <c r="L55" s="194"/>
      <c r="M55" s="357"/>
      <c r="N55" s="194"/>
      <c r="O55" s="194"/>
      <c r="P55" s="194"/>
      <c r="Q55" s="194"/>
      <c r="R55" s="194"/>
      <c r="S55" s="194"/>
      <c r="T55" s="194"/>
      <c r="U55" s="194"/>
      <c r="V55" s="194"/>
    </row>
    <row r="56" spans="3:22" x14ac:dyDescent="0.25">
      <c r="C56" s="32"/>
      <c r="D56" s="32"/>
      <c r="E56" s="32"/>
      <c r="F56" s="32"/>
      <c r="G56" s="32"/>
      <c r="K56" s="194"/>
      <c r="L56" s="194"/>
      <c r="M56" s="194"/>
      <c r="N56" s="194"/>
      <c r="O56" s="194"/>
      <c r="P56" s="194"/>
      <c r="Q56" s="194"/>
      <c r="R56" s="194"/>
      <c r="S56" s="194"/>
      <c r="T56" s="194"/>
      <c r="U56" s="194"/>
      <c r="V56" s="194"/>
    </row>
    <row r="57" spans="3:22" x14ac:dyDescent="0.25">
      <c r="K57" s="194"/>
      <c r="L57" s="194"/>
      <c r="M57" s="194"/>
      <c r="N57" s="194"/>
      <c r="O57" s="194"/>
      <c r="P57" s="194"/>
      <c r="Q57" s="194"/>
      <c r="R57" s="194"/>
      <c r="S57" s="194"/>
      <c r="T57" s="194"/>
      <c r="U57" s="194"/>
      <c r="V57" s="194"/>
    </row>
    <row r="63" spans="3:22" x14ac:dyDescent="0.25">
      <c r="L63" s="58"/>
    </row>
  </sheetData>
  <mergeCells count="1">
    <mergeCell ref="C33:E33"/>
  </mergeCells>
  <phoneticPr fontId="8"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(2018)</vt:lpstr>
      <vt:lpstr>Category Detail (2018)</vt:lpstr>
      <vt:lpstr>Category (2015-2019)</vt:lpstr>
      <vt:lpstr>NPCC In Kind</vt:lpstr>
      <vt:lpstr>Funding Shares</vt:lpstr>
      <vt:lpstr>Typical Rates</vt:lpstr>
      <vt:lpstr>'NPCC In Kind'!Print_Area</vt:lpstr>
    </vt:vector>
  </TitlesOfParts>
  <Company>Northwest Power and Conservation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Jennifer Light</cp:lastModifiedBy>
  <cp:lastPrinted>2012-09-14T17:01:32Z</cp:lastPrinted>
  <dcterms:created xsi:type="dcterms:W3CDTF">2010-11-30T20:23:00Z</dcterms:created>
  <dcterms:modified xsi:type="dcterms:W3CDTF">2017-10-20T23:42:09Z</dcterms:modified>
</cp:coreProperties>
</file>